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35" yWindow="330" windowWidth="12150" windowHeight="5610" tabRatio="832" activeTab="5"/>
  </bookViews>
  <sheets>
    <sheet name="Disclosures" sheetId="26" r:id="rId1"/>
    <sheet name="Balance Sheet" sheetId="21" r:id="rId2"/>
    <sheet name="GAAP Income Statement" sheetId="22" r:id="rId3"/>
    <sheet name="Non-GAAP Income Statement" sheetId="23" r:id="rId4"/>
    <sheet name="GAAP vs Non-GAAP" sheetId="24" r:id="rId5"/>
    <sheet name="Cash Flow" sheetId="32" r:id="rId6"/>
    <sheet name="Rev LoB" sheetId="27" r:id="rId7"/>
    <sheet name="Rev Region" sheetId="28" r:id="rId8"/>
    <sheet name="Rev Solution Area" sheetId="29" r:id="rId9"/>
    <sheet name="Bookings" sheetId="30" r:id="rId10"/>
    <sheet name="Supplementary" sheetId="31" r:id="rId11"/>
  </sheets>
  <definedNames>
    <definedName name="five" localSheetId="5" hidden="1">{"Landscape Detail CF",#N/A,FALSE,"Cash Flow for the 3 m-e 8.31";"Portrait Detail CF",#N/A,FALSE,"Cash Flow for the 3 m-e 8.31"}</definedName>
    <definedName name="five" localSheetId="0" hidden="1">{"Landscape Detail CF",#N/A,FALSE,"Cash Flow for the 3 m-e 8.31";"Portrait Detail CF",#N/A,FALSE,"Cash Flow for the 3 m-e 8.31"}</definedName>
    <definedName name="five" localSheetId="4" hidden="1">{"Landscape Detail CF",#N/A,FALSE,"Cash Flow for the 3 m-e 8.31";"Portrait Detail CF",#N/A,FALSE,"Cash Flow for the 3 m-e 8.31"}</definedName>
    <definedName name="five" localSheetId="6" hidden="1">{"Landscape Detail CF",#N/A,FALSE,"Cash Flow for the 3 m-e 8.31";"Portrait Detail CF",#N/A,FALSE,"Cash Flow for the 3 m-e 8.31"}</definedName>
    <definedName name="five" hidden="1">{"Landscape Detail CF",#N/A,FALSE,"Cash Flow for the 3 m-e 8.31";"Portrait Detail CF",#N/A,FALSE,"Cash Flow for the 3 m-e 8.31"}</definedName>
    <definedName name="four" localSheetId="5" hidden="1">{"Landscape Detail CF",#N/A,FALSE,"Cash Flow for the 3 m-e 8.31";"Portrait Detail CF",#N/A,FALSE,"Cash Flow for the 3 m-e 8.31"}</definedName>
    <definedName name="four" localSheetId="0" hidden="1">{"Landscape Detail CF",#N/A,FALSE,"Cash Flow for the 3 m-e 8.31";"Portrait Detail CF",#N/A,FALSE,"Cash Flow for the 3 m-e 8.31"}</definedName>
    <definedName name="four" localSheetId="4" hidden="1">{"Landscape Detail CF",#N/A,FALSE,"Cash Flow for the 3 m-e 8.31";"Portrait Detail CF",#N/A,FALSE,"Cash Flow for the 3 m-e 8.31"}</definedName>
    <definedName name="four" localSheetId="6" hidden="1">{"Landscape Detail CF",#N/A,FALSE,"Cash Flow for the 3 m-e 8.31";"Portrait Detail CF",#N/A,FALSE,"Cash Flow for the 3 m-e 8.31"}</definedName>
    <definedName name="four" hidden="1">{"Landscape Detail CF",#N/A,FALSE,"Cash Flow for the 3 m-e 8.31";"Portrait Detail CF",#N/A,FALSE,"Cash Flow for the 3 m-e 8.31"}</definedName>
    <definedName name="_xlnm.Print_Area" localSheetId="1">'Balance Sheet'!$A$1:$X$46</definedName>
    <definedName name="_xlnm.Print_Area" localSheetId="9">Bookings!$A$1:$V$31</definedName>
    <definedName name="_xlnm.Print_Area" localSheetId="5">'Cash Flow'!$A$1:$AB$60</definedName>
    <definedName name="_xlnm.Print_Area" localSheetId="0">Disclosures!$A$1:$C$9</definedName>
    <definedName name="_xlnm.Print_Area" localSheetId="2">'GAAP Income Statement'!$A$1:$AB$50</definedName>
    <definedName name="_xlnm.Print_Area" localSheetId="4">'GAAP vs Non-GAAP'!$A$1:$AB$112</definedName>
    <definedName name="_xlnm.Print_Area" localSheetId="3">'Non-GAAP Income Statement'!$A$1:$AB$49</definedName>
    <definedName name="_xlnm.Print_Area" localSheetId="6">'Rev LoB'!$A$1:$AB$45</definedName>
    <definedName name="_xlnm.Print_Area" localSheetId="7">'Rev Region'!$A$1:$AB$71</definedName>
    <definedName name="_xlnm.Print_Area" localSheetId="8">'Rev Solution Area'!$A$1:$AB$53</definedName>
    <definedName name="_xlnm.Print_Area" localSheetId="10">Supplementary!$A$1:$AB$31</definedName>
    <definedName name="_xlnm.Print_Titles" localSheetId="7">'Rev Region'!$A:$A,'Rev Region'!$3:$6</definedName>
    <definedName name="_xlnm.Print_Titles" localSheetId="8">'Rev Solution Area'!$A:$A,'Rev Solution Area'!$3:$6</definedName>
    <definedName name="_xlnm.Print_Titles" localSheetId="10">Supplementary!$A:$A,Supplementary!$3:$6</definedName>
    <definedName name="three" localSheetId="5" hidden="1">{"Landscape Detail CF",#N/A,FALSE,"Cash Flow for the 3 m-e 8.31";"Portrait Detail CF",#N/A,FALSE,"Cash Flow for the 3 m-e 8.31"}</definedName>
    <definedName name="three" localSheetId="0" hidden="1">{"Landscape Detail CF",#N/A,FALSE,"Cash Flow for the 3 m-e 8.31";"Portrait Detail CF",#N/A,FALSE,"Cash Flow for the 3 m-e 8.31"}</definedName>
    <definedName name="three" localSheetId="4" hidden="1">{"Landscape Detail CF",#N/A,FALSE,"Cash Flow for the 3 m-e 8.31";"Portrait Detail CF",#N/A,FALSE,"Cash Flow for the 3 m-e 8.31"}</definedName>
    <definedName name="three" localSheetId="6" hidden="1">{"Landscape Detail CF",#N/A,FALSE,"Cash Flow for the 3 m-e 8.31";"Portrait Detail CF",#N/A,FALSE,"Cash Flow for the 3 m-e 8.31"}</definedName>
    <definedName name="three" hidden="1">{"Landscape Detail CF",#N/A,FALSE,"Cash Flow for the 3 m-e 8.31";"Portrait Detail CF",#N/A,FALSE,"Cash Flow for the 3 m-e 8.31"}</definedName>
    <definedName name="two" localSheetId="5" hidden="1">{"Landscape Detail CF",#N/A,FALSE,"Cash Flow for the 3 m-e 8.31";"Portrait Detail CF",#N/A,FALSE,"Cash Flow for the 3 m-e 8.31"}</definedName>
    <definedName name="two" localSheetId="0" hidden="1">{"Landscape Detail CF",#N/A,FALSE,"Cash Flow for the 3 m-e 8.31";"Portrait Detail CF",#N/A,FALSE,"Cash Flow for the 3 m-e 8.31"}</definedName>
    <definedName name="two" localSheetId="4" hidden="1">{"Landscape Detail CF",#N/A,FALSE,"Cash Flow for the 3 m-e 8.31";"Portrait Detail CF",#N/A,FALSE,"Cash Flow for the 3 m-e 8.31"}</definedName>
    <definedName name="two" localSheetId="6" hidden="1">{"Landscape Detail CF",#N/A,FALSE,"Cash Flow for the 3 m-e 8.31";"Portrait Detail CF",#N/A,FALSE,"Cash Flow for the 3 m-e 8.31"}</definedName>
    <definedName name="two" hidden="1">{"Landscape Detail CF",#N/A,FALSE,"Cash Flow for the 3 m-e 8.31";"Portrait Detail CF",#N/A,FALSE,"Cash Flow for the 3 m-e 8.31"}</definedName>
    <definedName name="wrn.Three._.Months._.Cash._.Flow." localSheetId="5" hidden="1">{"Landscape Detail CF",#N/A,FALSE,"Cash Flow for the 3 m-e 8.31";"Portrait Detail CF",#N/A,FALSE,"Cash Flow for the 3 m-e 8.31"}</definedName>
    <definedName name="wrn.Three._.Months._.Cash._.Flow." localSheetId="0" hidden="1">{"Landscape Detail CF",#N/A,FALSE,"Cash Flow for the 3 m-e 8.31";"Portrait Detail CF",#N/A,FALSE,"Cash Flow for the 3 m-e 8.31"}</definedName>
    <definedName name="wrn.Three._.Months._.Cash._.Flow." localSheetId="4" hidden="1">{"Landscape Detail CF",#N/A,FALSE,"Cash Flow for the 3 m-e 8.31";"Portrait Detail CF",#N/A,FALSE,"Cash Flow for the 3 m-e 8.31"}</definedName>
    <definedName name="wrn.Three._.Months._.Cash._.Flow." localSheetId="6" hidden="1">{"Landscape Detail CF",#N/A,FALSE,"Cash Flow for the 3 m-e 8.31";"Portrait Detail CF",#N/A,FALSE,"Cash Flow for the 3 m-e 8.31"}</definedName>
    <definedName name="wrn.Three._.Months._.Cash._.Flow." hidden="1">{"Landscape Detail CF",#N/A,FALSE,"Cash Flow for the 3 m-e 8.31";"Portrait Detail CF",#N/A,FALSE,"Cash Flow for the 3 m-e 8.31"}</definedName>
  </definedNames>
  <calcPr calcId="145621"/>
</workbook>
</file>

<file path=xl/calcChain.xml><?xml version="1.0" encoding="utf-8"?>
<calcChain xmlns="http://schemas.openxmlformats.org/spreadsheetml/2006/main">
  <c r="Z54" i="32" l="1"/>
  <c r="P54" i="32"/>
  <c r="Z53" i="32"/>
  <c r="P53" i="32"/>
  <c r="Z52" i="32"/>
  <c r="P52" i="32"/>
  <c r="F51" i="32"/>
  <c r="F55" i="32" s="1"/>
  <c r="B51" i="32"/>
  <c r="B55" i="32" s="1"/>
  <c r="AB47" i="32"/>
  <c r="X47" i="32"/>
  <c r="V47" i="32"/>
  <c r="T47" i="32"/>
  <c r="R47" i="32"/>
  <c r="Z47" i="32" s="1"/>
  <c r="N47" i="32"/>
  <c r="L47" i="32"/>
  <c r="J47" i="32"/>
  <c r="H47" i="32"/>
  <c r="P47" i="32" s="1"/>
  <c r="A47" i="32"/>
  <c r="F45" i="32"/>
  <c r="F48" i="32" s="1"/>
  <c r="D45" i="32"/>
  <c r="D51" i="32" s="1"/>
  <c r="D55" i="32" s="1"/>
  <c r="B45" i="32"/>
  <c r="B48" i="32" s="1"/>
  <c r="AB44" i="32"/>
  <c r="X44" i="32"/>
  <c r="V44" i="32"/>
  <c r="T44" i="32"/>
  <c r="R44" i="32"/>
  <c r="Z44" i="32" s="1"/>
  <c r="N44" i="32"/>
  <c r="L44" i="32"/>
  <c r="J44" i="32"/>
  <c r="H44" i="32"/>
  <c r="P44" i="32" s="1"/>
  <c r="A44" i="32"/>
  <c r="T43" i="32"/>
  <c r="T45" i="32" s="1"/>
  <c r="T51" i="32" s="1"/>
  <c r="T55" i="32" s="1"/>
  <c r="L43" i="32"/>
  <c r="L45" i="32" s="1"/>
  <c r="L51" i="32" s="1"/>
  <c r="L55" i="32" s="1"/>
  <c r="H43" i="32"/>
  <c r="H45" i="32" s="1"/>
  <c r="H51" i="32" s="1"/>
  <c r="H55" i="32" s="1"/>
  <c r="A43" i="32"/>
  <c r="P38" i="32"/>
  <c r="H38" i="32"/>
  <c r="Z36" i="32"/>
  <c r="P36" i="32"/>
  <c r="AB34" i="32"/>
  <c r="X34" i="32"/>
  <c r="V34" i="32"/>
  <c r="T34" i="32"/>
  <c r="R34" i="32"/>
  <c r="N34" i="32"/>
  <c r="L34" i="32"/>
  <c r="J34" i="32"/>
  <c r="H34" i="32"/>
  <c r="Z33" i="32"/>
  <c r="P33" i="32"/>
  <c r="Z32" i="32"/>
  <c r="P32" i="32"/>
  <c r="Z31" i="32"/>
  <c r="P31" i="32"/>
  <c r="Z30" i="32"/>
  <c r="P30" i="32"/>
  <c r="Z29" i="32"/>
  <c r="P29" i="32"/>
  <c r="Z28" i="32"/>
  <c r="Z34" i="32" s="1"/>
  <c r="P28" i="32"/>
  <c r="P34" i="32" s="1"/>
  <c r="AB25" i="32"/>
  <c r="X25" i="32"/>
  <c r="V25" i="32"/>
  <c r="T25" i="32"/>
  <c r="T37" i="32" s="1"/>
  <c r="R25" i="32"/>
  <c r="N25" i="32"/>
  <c r="L25" i="32"/>
  <c r="L37" i="32" s="1"/>
  <c r="J25" i="32"/>
  <c r="H25" i="32"/>
  <c r="H37" i="32" s="1"/>
  <c r="H39" i="32" s="1"/>
  <c r="J38" i="32" s="1"/>
  <c r="Z24" i="32"/>
  <c r="P24" i="32"/>
  <c r="Z23" i="32"/>
  <c r="P23" i="32"/>
  <c r="Z22" i="32"/>
  <c r="Z25" i="32" s="1"/>
  <c r="P22" i="32"/>
  <c r="P25" i="32" s="1"/>
  <c r="AB19" i="32"/>
  <c r="AB43" i="32" s="1"/>
  <c r="AB45" i="32" s="1"/>
  <c r="AB51" i="32" s="1"/>
  <c r="AB55" i="32" s="1"/>
  <c r="V19" i="32"/>
  <c r="V43" i="32" s="1"/>
  <c r="V45" i="32" s="1"/>
  <c r="V51" i="32" s="1"/>
  <c r="V55" i="32" s="1"/>
  <c r="T19" i="32"/>
  <c r="R19" i="32"/>
  <c r="R37" i="32" s="1"/>
  <c r="N19" i="32"/>
  <c r="N43" i="32" s="1"/>
  <c r="N45" i="32" s="1"/>
  <c r="N51" i="32" s="1"/>
  <c r="N55" i="32" s="1"/>
  <c r="L19" i="32"/>
  <c r="J19" i="32"/>
  <c r="J37" i="32" s="1"/>
  <c r="H19" i="32"/>
  <c r="Z18" i="32"/>
  <c r="P18" i="32"/>
  <c r="Z17" i="32"/>
  <c r="P17" i="32"/>
  <c r="Z16" i="32"/>
  <c r="P16" i="32"/>
  <c r="Z15" i="32"/>
  <c r="P15" i="32"/>
  <c r="Z14" i="32"/>
  <c r="P14" i="32"/>
  <c r="Z13" i="32"/>
  <c r="Z19" i="32" s="1"/>
  <c r="X13" i="32"/>
  <c r="X19" i="32" s="1"/>
  <c r="P13" i="32"/>
  <c r="Z12" i="32"/>
  <c r="P12" i="32"/>
  <c r="Z11" i="32"/>
  <c r="P11" i="32"/>
  <c r="Z10" i="32"/>
  <c r="P10" i="32"/>
  <c r="Z9" i="32"/>
  <c r="P9" i="32"/>
  <c r="P19" i="32" s="1"/>
  <c r="AB37" i="32" l="1"/>
  <c r="Z37" i="32"/>
  <c r="J39" i="32"/>
  <c r="L38" i="32" s="1"/>
  <c r="L39" i="32" s="1"/>
  <c r="N38" i="32" s="1"/>
  <c r="X37" i="32"/>
  <c r="X43" i="32"/>
  <c r="X45" i="32" s="1"/>
  <c r="X51" i="32" s="1"/>
  <c r="X55" i="32" s="1"/>
  <c r="P37" i="32"/>
  <c r="P39" i="32" s="1"/>
  <c r="P43" i="32"/>
  <c r="P45" i="32" s="1"/>
  <c r="P51" i="32" s="1"/>
  <c r="P55" i="32" s="1"/>
  <c r="N37" i="32"/>
  <c r="V37" i="32"/>
  <c r="J43" i="32"/>
  <c r="J45" i="32" s="1"/>
  <c r="J51" i="32" s="1"/>
  <c r="J55" i="32" s="1"/>
  <c r="R43" i="32"/>
  <c r="D48" i="32"/>
  <c r="R45" i="32" l="1"/>
  <c r="R51" i="32" s="1"/>
  <c r="R55" i="32" s="1"/>
  <c r="Z43" i="32"/>
  <c r="Z45" i="32" s="1"/>
  <c r="Z38" i="32"/>
  <c r="Z39" i="32" s="1"/>
  <c r="AB38" i="32" s="1"/>
  <c r="AB39" i="32" s="1"/>
  <c r="R38" i="32"/>
  <c r="R39" i="32" s="1"/>
  <c r="T38" i="32" s="1"/>
  <c r="T39" i="32" s="1"/>
  <c r="V38" i="32" s="1"/>
  <c r="V39" i="32"/>
  <c r="X38" i="32" s="1"/>
  <c r="X39" i="32" s="1"/>
  <c r="P48" i="32"/>
  <c r="N39" i="32"/>
  <c r="Z51" i="32" l="1"/>
  <c r="Z55" i="32" s="1"/>
  <c r="Z48" i="32"/>
  <c r="AB25" i="31" l="1"/>
  <c r="Z25" i="31"/>
  <c r="X25" i="31"/>
  <c r="V25" i="31"/>
  <c r="T25" i="31"/>
  <c r="R25" i="31"/>
  <c r="P25" i="31"/>
  <c r="N25" i="31"/>
  <c r="L25" i="31"/>
  <c r="J25" i="31"/>
  <c r="H25" i="31"/>
  <c r="AB15" i="31"/>
  <c r="Z15" i="31"/>
  <c r="X15" i="31"/>
  <c r="V15" i="31"/>
  <c r="T15" i="31"/>
  <c r="R15" i="31"/>
  <c r="P15" i="31"/>
  <c r="N15" i="31"/>
  <c r="L15" i="31"/>
  <c r="J15" i="31"/>
  <c r="H15" i="31"/>
  <c r="R11" i="30"/>
  <c r="P11" i="30"/>
  <c r="N11" i="30"/>
  <c r="L11" i="30"/>
  <c r="H11" i="30"/>
  <c r="F11" i="30"/>
  <c r="D11" i="30"/>
  <c r="B11" i="30"/>
  <c r="T10" i="30"/>
  <c r="T11" i="30" s="1"/>
  <c r="J10" i="30"/>
  <c r="J11" i="30" s="1"/>
  <c r="T9" i="30"/>
  <c r="J9" i="30"/>
  <c r="AB50" i="29"/>
  <c r="X50" i="29"/>
  <c r="V50" i="29"/>
  <c r="T50" i="29"/>
  <c r="R50" i="29"/>
  <c r="Z50" i="29" s="1"/>
  <c r="N50" i="29"/>
  <c r="L50" i="29"/>
  <c r="J50" i="29"/>
  <c r="H50" i="29"/>
  <c r="P50" i="29" s="1"/>
  <c r="AB49" i="29"/>
  <c r="AB51" i="29" s="1"/>
  <c r="X49" i="29"/>
  <c r="X51" i="29" s="1"/>
  <c r="V49" i="29"/>
  <c r="V51" i="29" s="1"/>
  <c r="T49" i="29"/>
  <c r="T51" i="29" s="1"/>
  <c r="R49" i="29"/>
  <c r="R51" i="29" s="1"/>
  <c r="N49" i="29"/>
  <c r="N51" i="29" s="1"/>
  <c r="L49" i="29"/>
  <c r="L51" i="29" s="1"/>
  <c r="J49" i="29"/>
  <c r="J51" i="29" s="1"/>
  <c r="H49" i="29"/>
  <c r="P49" i="29" s="1"/>
  <c r="P51" i="29" s="1"/>
  <c r="AB40" i="29"/>
  <c r="X40" i="29"/>
  <c r="V40" i="29"/>
  <c r="T40" i="29"/>
  <c r="R40" i="29"/>
  <c r="AB39" i="29"/>
  <c r="X39" i="29"/>
  <c r="V39" i="29"/>
  <c r="T39" i="29"/>
  <c r="R39" i="29"/>
  <c r="R35" i="29"/>
  <c r="J35" i="29"/>
  <c r="AB34" i="29"/>
  <c r="X34" i="29"/>
  <c r="X36" i="29" s="1"/>
  <c r="T34" i="29"/>
  <c r="L34" i="29"/>
  <c r="H34" i="29"/>
  <c r="AB31" i="29"/>
  <c r="AB35" i="29" s="1"/>
  <c r="AB36" i="29" s="1"/>
  <c r="X31" i="29"/>
  <c r="X35" i="29" s="1"/>
  <c r="V31" i="29"/>
  <c r="V41" i="29" s="1"/>
  <c r="T31" i="29"/>
  <c r="T35" i="29" s="1"/>
  <c r="T36" i="29" s="1"/>
  <c r="R31" i="29"/>
  <c r="R34" i="29" s="1"/>
  <c r="R36" i="29" s="1"/>
  <c r="N31" i="29"/>
  <c r="N34" i="29" s="1"/>
  <c r="L31" i="29"/>
  <c r="L35" i="29" s="1"/>
  <c r="L36" i="29" s="1"/>
  <c r="J31" i="29"/>
  <c r="J34" i="29" s="1"/>
  <c r="J36" i="29" s="1"/>
  <c r="H31" i="29"/>
  <c r="H35" i="29" s="1"/>
  <c r="Z30" i="29"/>
  <c r="Z40" i="29" s="1"/>
  <c r="P30" i="29"/>
  <c r="Z29" i="29"/>
  <c r="P29" i="29"/>
  <c r="P39" i="29" s="1"/>
  <c r="AB20" i="29"/>
  <c r="X20" i="29"/>
  <c r="V20" i="29"/>
  <c r="T20" i="29"/>
  <c r="R20" i="29"/>
  <c r="AB19" i="29"/>
  <c r="X19" i="29"/>
  <c r="V19" i="29"/>
  <c r="T19" i="29"/>
  <c r="R19" i="29"/>
  <c r="T16" i="29"/>
  <c r="Z15" i="29"/>
  <c r="J15" i="29"/>
  <c r="AB14" i="29"/>
  <c r="AB16" i="29" s="1"/>
  <c r="X14" i="29"/>
  <c r="X16" i="29" s="1"/>
  <c r="T14" i="29"/>
  <c r="L14" i="29"/>
  <c r="L16" i="29" s="1"/>
  <c r="H14" i="29"/>
  <c r="H16" i="29" s="1"/>
  <c r="AB11" i="29"/>
  <c r="AB15" i="29" s="1"/>
  <c r="Z11" i="29"/>
  <c r="X11" i="29"/>
  <c r="X15" i="29" s="1"/>
  <c r="V11" i="29"/>
  <c r="T11" i="29"/>
  <c r="T15" i="29" s="1"/>
  <c r="R11" i="29"/>
  <c r="N11" i="29"/>
  <c r="L11" i="29"/>
  <c r="L15" i="29" s="1"/>
  <c r="J11" i="29"/>
  <c r="H11" i="29"/>
  <c r="H15" i="29" s="1"/>
  <c r="Z10" i="29"/>
  <c r="Z20" i="29" s="1"/>
  <c r="P10" i="29"/>
  <c r="P20" i="29" s="1"/>
  <c r="Z9" i="29"/>
  <c r="P9" i="29"/>
  <c r="P11" i="29" s="1"/>
  <c r="P21" i="29" s="1"/>
  <c r="AB68" i="28"/>
  <c r="X68" i="28"/>
  <c r="V68" i="28"/>
  <c r="T68" i="28"/>
  <c r="R68" i="28"/>
  <c r="Z68" i="28" s="1"/>
  <c r="N68" i="28"/>
  <c r="L68" i="28"/>
  <c r="J68" i="28"/>
  <c r="H68" i="28"/>
  <c r="P68" i="28" s="1"/>
  <c r="AB67" i="28"/>
  <c r="X67" i="28"/>
  <c r="V67" i="28"/>
  <c r="T67" i="28"/>
  <c r="R67" i="28"/>
  <c r="N67" i="28"/>
  <c r="L67" i="28"/>
  <c r="J67" i="28"/>
  <c r="H67" i="28"/>
  <c r="P67" i="28" s="1"/>
  <c r="AB66" i="28"/>
  <c r="X66" i="28"/>
  <c r="V66" i="28"/>
  <c r="T66" i="28"/>
  <c r="R66" i="28"/>
  <c r="Z66" i="28" s="1"/>
  <c r="N66" i="28"/>
  <c r="L66" i="28"/>
  <c r="J66" i="28"/>
  <c r="H66" i="28"/>
  <c r="P66" i="28" s="1"/>
  <c r="AB65" i="28"/>
  <c r="AB69" i="28" s="1"/>
  <c r="X65" i="28"/>
  <c r="X69" i="28" s="1"/>
  <c r="V65" i="28"/>
  <c r="T65" i="28"/>
  <c r="T69" i="28" s="1"/>
  <c r="R65" i="28"/>
  <c r="N65" i="28"/>
  <c r="L65" i="28"/>
  <c r="L69" i="28" s="1"/>
  <c r="J65" i="28"/>
  <c r="J69" i="28" s="1"/>
  <c r="H65" i="28"/>
  <c r="H69" i="28" s="1"/>
  <c r="V55" i="28"/>
  <c r="R55" i="28"/>
  <c r="AB54" i="28"/>
  <c r="X54" i="28"/>
  <c r="V54" i="28"/>
  <c r="T54" i="28"/>
  <c r="R54" i="28"/>
  <c r="P54" i="28"/>
  <c r="AB53" i="28"/>
  <c r="X53" i="28"/>
  <c r="V53" i="28"/>
  <c r="T53" i="28"/>
  <c r="R53" i="28"/>
  <c r="AB52" i="28"/>
  <c r="X52" i="28"/>
  <c r="V52" i="28"/>
  <c r="T52" i="28"/>
  <c r="R52" i="28"/>
  <c r="P52" i="28"/>
  <c r="AB51" i="28"/>
  <c r="X51" i="28"/>
  <c r="V51" i="28"/>
  <c r="T51" i="28"/>
  <c r="R51" i="28"/>
  <c r="R47" i="28"/>
  <c r="AB46" i="28"/>
  <c r="X46" i="28"/>
  <c r="T46" i="28"/>
  <c r="P46" i="28"/>
  <c r="L46" i="28"/>
  <c r="H46" i="28"/>
  <c r="V45" i="28"/>
  <c r="R45" i="28"/>
  <c r="N45" i="28"/>
  <c r="AB44" i="28"/>
  <c r="X44" i="28"/>
  <c r="T44" i="28"/>
  <c r="L44" i="28"/>
  <c r="H44" i="28"/>
  <c r="AB41" i="28"/>
  <c r="AB55" i="28" s="1"/>
  <c r="X41" i="28"/>
  <c r="X47" i="28" s="1"/>
  <c r="V41" i="28"/>
  <c r="T41" i="28"/>
  <c r="R41" i="28"/>
  <c r="N41" i="28"/>
  <c r="L41" i="28"/>
  <c r="L45" i="28" s="1"/>
  <c r="J41" i="28"/>
  <c r="H41" i="28"/>
  <c r="H47" i="28" s="1"/>
  <c r="Z40" i="28"/>
  <c r="Z54" i="28" s="1"/>
  <c r="P40" i="28"/>
  <c r="P47" i="28" s="1"/>
  <c r="Z39" i="28"/>
  <c r="Z53" i="28" s="1"/>
  <c r="P39" i="28"/>
  <c r="P53" i="28" s="1"/>
  <c r="Z38" i="28"/>
  <c r="Z52" i="28" s="1"/>
  <c r="P38" i="28"/>
  <c r="P45" i="28" s="1"/>
  <c r="Z37" i="28"/>
  <c r="P37" i="28"/>
  <c r="P41" i="28" s="1"/>
  <c r="P55" i="28" s="1"/>
  <c r="AB27" i="28"/>
  <c r="AB26" i="28"/>
  <c r="X26" i="28"/>
  <c r="V26" i="28"/>
  <c r="T26" i="28"/>
  <c r="R26" i="28"/>
  <c r="AB25" i="28"/>
  <c r="X25" i="28"/>
  <c r="V25" i="28"/>
  <c r="T25" i="28"/>
  <c r="R25" i="28"/>
  <c r="AB24" i="28"/>
  <c r="X24" i="28"/>
  <c r="V24" i="28"/>
  <c r="T24" i="28"/>
  <c r="R24" i="28"/>
  <c r="AB23" i="28"/>
  <c r="X23" i="28"/>
  <c r="V23" i="28"/>
  <c r="T23" i="28"/>
  <c r="R23" i="28"/>
  <c r="AB19" i="28"/>
  <c r="X19" i="28"/>
  <c r="H19" i="28"/>
  <c r="V18" i="28"/>
  <c r="R18" i="28"/>
  <c r="N18" i="28"/>
  <c r="J18" i="28"/>
  <c r="AB17" i="28"/>
  <c r="Z16" i="28"/>
  <c r="V16" i="28"/>
  <c r="R16" i="28"/>
  <c r="N16" i="28"/>
  <c r="J16" i="28"/>
  <c r="AB13" i="28"/>
  <c r="X13" i="28"/>
  <c r="X27" i="28" s="1"/>
  <c r="V13" i="28"/>
  <c r="T13" i="28"/>
  <c r="T17" i="28" s="1"/>
  <c r="R13" i="28"/>
  <c r="R19" i="28" s="1"/>
  <c r="N13" i="28"/>
  <c r="N17" i="28" s="1"/>
  <c r="L13" i="28"/>
  <c r="J13" i="28"/>
  <c r="J19" i="28" s="1"/>
  <c r="H13" i="28"/>
  <c r="H17" i="28" s="1"/>
  <c r="Z12" i="28"/>
  <c r="Z19" i="28" s="1"/>
  <c r="P12" i="28"/>
  <c r="P26" i="28" s="1"/>
  <c r="Z11" i="28"/>
  <c r="P11" i="28"/>
  <c r="Z10" i="28"/>
  <c r="Z17" i="28" s="1"/>
  <c r="P10" i="28"/>
  <c r="P24" i="28" s="1"/>
  <c r="Z9" i="28"/>
  <c r="Z13" i="28" s="1"/>
  <c r="P9" i="28"/>
  <c r="L16" i="28" l="1"/>
  <c r="L18" i="28"/>
  <c r="J44" i="28"/>
  <c r="J46" i="28"/>
  <c r="P65" i="28"/>
  <c r="P69" i="28" s="1"/>
  <c r="V21" i="29"/>
  <c r="V14" i="29"/>
  <c r="V16" i="29" s="1"/>
  <c r="V15" i="29"/>
  <c r="V27" i="28"/>
  <c r="X17" i="28"/>
  <c r="L19" i="28"/>
  <c r="Z24" i="28"/>
  <c r="Z26" i="28"/>
  <c r="V46" i="28"/>
  <c r="V44" i="28"/>
  <c r="V47" i="28"/>
  <c r="Z51" i="28"/>
  <c r="R69" i="28"/>
  <c r="Z67" i="28"/>
  <c r="N14" i="29"/>
  <c r="X21" i="29"/>
  <c r="N15" i="29"/>
  <c r="T16" i="28"/>
  <c r="T20" i="28" s="1"/>
  <c r="T18" i="28"/>
  <c r="T27" i="28"/>
  <c r="T55" i="28"/>
  <c r="P18" i="28"/>
  <c r="H18" i="28"/>
  <c r="H16" i="28"/>
  <c r="H20" i="28" s="1"/>
  <c r="P13" i="28"/>
  <c r="P27" i="28" s="1"/>
  <c r="X18" i="28"/>
  <c r="X16" i="28"/>
  <c r="L17" i="28"/>
  <c r="P19" i="28"/>
  <c r="N46" i="28"/>
  <c r="N44" i="28"/>
  <c r="J47" i="28"/>
  <c r="R14" i="29"/>
  <c r="R16" i="29" s="1"/>
  <c r="AB21" i="29"/>
  <c r="R21" i="29"/>
  <c r="Z21" i="29"/>
  <c r="P14" i="29"/>
  <c r="Z27" i="28"/>
  <c r="Z25" i="28"/>
  <c r="AB16" i="28"/>
  <c r="AB18" i="28"/>
  <c r="P17" i="28"/>
  <c r="Z18" i="28"/>
  <c r="Z20" i="28" s="1"/>
  <c r="T19" i="28"/>
  <c r="P23" i="28"/>
  <c r="P25" i="28"/>
  <c r="R44" i="28"/>
  <c r="R48" i="28" s="1"/>
  <c r="R46" i="28"/>
  <c r="Z41" i="28"/>
  <c r="Z55" i="28" s="1"/>
  <c r="P44" i="28"/>
  <c r="P48" i="28" s="1"/>
  <c r="J45" i="28"/>
  <c r="N47" i="28"/>
  <c r="N69" i="28"/>
  <c r="V69" i="28"/>
  <c r="Z19" i="29"/>
  <c r="Z14" i="29"/>
  <c r="Z16" i="29" s="1"/>
  <c r="J14" i="29"/>
  <c r="J16" i="29" s="1"/>
  <c r="T21" i="29"/>
  <c r="R15" i="29"/>
  <c r="Z34" i="29"/>
  <c r="H36" i="29"/>
  <c r="Z31" i="29"/>
  <c r="N35" i="29"/>
  <c r="N36" i="29" s="1"/>
  <c r="V35" i="29"/>
  <c r="Z39" i="29"/>
  <c r="X41" i="29"/>
  <c r="Z49" i="29"/>
  <c r="Z51" i="29" s="1"/>
  <c r="J17" i="28"/>
  <c r="J20" i="28" s="1"/>
  <c r="R17" i="28"/>
  <c r="R20" i="28" s="1"/>
  <c r="N19" i="28"/>
  <c r="N20" i="28" s="1"/>
  <c r="V19" i="28"/>
  <c r="Z23" i="28"/>
  <c r="R27" i="28"/>
  <c r="H45" i="28"/>
  <c r="H48" i="28" s="1"/>
  <c r="X45" i="28"/>
  <c r="X48" i="28" s="1"/>
  <c r="L47" i="28"/>
  <c r="L48" i="28" s="1"/>
  <c r="T47" i="28"/>
  <c r="AB47" i="28"/>
  <c r="P51" i="28"/>
  <c r="X55" i="28"/>
  <c r="Z65" i="28"/>
  <c r="Z69" i="28" s="1"/>
  <c r="P15" i="29"/>
  <c r="V34" i="29"/>
  <c r="R41" i="29"/>
  <c r="H51" i="29"/>
  <c r="Z35" i="29"/>
  <c r="T41" i="29"/>
  <c r="AB41" i="29"/>
  <c r="V17" i="28"/>
  <c r="V20" i="28" s="1"/>
  <c r="T45" i="28"/>
  <c r="T48" i="28" s="1"/>
  <c r="AB45" i="28"/>
  <c r="P31" i="29"/>
  <c r="P34" i="29" l="1"/>
  <c r="P41" i="29"/>
  <c r="Z41" i="29"/>
  <c r="N16" i="29"/>
  <c r="P35" i="29"/>
  <c r="N48" i="28"/>
  <c r="X20" i="28"/>
  <c r="Z46" i="28"/>
  <c r="V48" i="28"/>
  <c r="L20" i="28"/>
  <c r="Z36" i="29"/>
  <c r="P16" i="29"/>
  <c r="J48" i="28"/>
  <c r="AB48" i="28"/>
  <c r="V36" i="29"/>
  <c r="Z45" i="28"/>
  <c r="AB20" i="28"/>
  <c r="Z47" i="28"/>
  <c r="P16" i="28"/>
  <c r="P20" i="28" s="1"/>
  <c r="Z44" i="28"/>
  <c r="Z48" i="28" l="1"/>
  <c r="P36" i="29"/>
  <c r="B27" i="24" l="1"/>
  <c r="B26" i="24"/>
  <c r="B25" i="24"/>
  <c r="B24" i="24"/>
  <c r="D27" i="24"/>
  <c r="D26" i="24"/>
  <c r="D25" i="24"/>
  <c r="D24" i="24"/>
  <c r="F27" i="24"/>
  <c r="F26" i="24"/>
  <c r="F25" i="24"/>
  <c r="F24" i="24"/>
  <c r="B13" i="24"/>
  <c r="D13" i="24"/>
  <c r="F13" i="24"/>
  <c r="B8" i="24"/>
  <c r="D8" i="24"/>
  <c r="F8" i="24"/>
  <c r="F15" i="24"/>
  <c r="D15" i="24"/>
  <c r="B15" i="24"/>
  <c r="Z9" i="22"/>
  <c r="X24" i="22"/>
  <c r="P17" i="22"/>
  <c r="N22" i="22" l="1"/>
  <c r="N24" i="22"/>
  <c r="H22" i="23" l="1"/>
  <c r="X22" i="22" l="1"/>
  <c r="V24" i="22"/>
  <c r="V22" i="22"/>
  <c r="T22" i="22"/>
  <c r="T24" i="22"/>
  <c r="R22" i="22"/>
  <c r="R24" i="22"/>
  <c r="L24" i="22"/>
  <c r="L22" i="22"/>
  <c r="J22" i="22"/>
  <c r="J24" i="22"/>
  <c r="H24" i="22"/>
  <c r="H22" i="22"/>
  <c r="F22" i="22"/>
  <c r="F24" i="22"/>
  <c r="D24" i="22"/>
  <c r="D22" i="22"/>
  <c r="V23" i="23" l="1"/>
  <c r="V24" i="23"/>
  <c r="X24" i="23" l="1"/>
  <c r="X22" i="23"/>
  <c r="V22" i="23"/>
  <c r="T24" i="23"/>
  <c r="T22" i="23"/>
  <c r="N24" i="23"/>
  <c r="N22" i="23"/>
  <c r="L24" i="23"/>
  <c r="L22" i="23"/>
  <c r="J24" i="23"/>
  <c r="J22" i="23"/>
  <c r="H24" i="23"/>
  <c r="R24" i="23"/>
  <c r="R22" i="23"/>
  <c r="B22" i="22" l="1"/>
  <c r="B24" i="22"/>
  <c r="AB19" i="23" l="1"/>
  <c r="AB58" i="24" l="1"/>
  <c r="AB57" i="24"/>
  <c r="B11" i="23" l="1"/>
  <c r="B13" i="23" s="1"/>
  <c r="B15" i="23" s="1"/>
  <c r="D11" i="23"/>
  <c r="D13" i="23" s="1"/>
  <c r="D15" i="23" s="1"/>
  <c r="F11" i="23"/>
  <c r="F13" i="23" s="1"/>
  <c r="F15" i="23" s="1"/>
  <c r="Z12" i="23" l="1"/>
  <c r="Z9" i="23"/>
  <c r="Z12" i="22" l="1"/>
  <c r="AB24" i="24" l="1"/>
  <c r="Z24" i="24"/>
  <c r="X24" i="24"/>
  <c r="V24" i="24"/>
  <c r="T24" i="24"/>
  <c r="R24" i="24"/>
  <c r="N24" i="24"/>
  <c r="L24" i="24"/>
  <c r="J24" i="24"/>
  <c r="H24" i="24"/>
  <c r="Z11" i="24"/>
  <c r="P11" i="24"/>
  <c r="B111" i="24" l="1"/>
  <c r="B110" i="24"/>
  <c r="B109" i="24"/>
  <c r="B106" i="24"/>
  <c r="B103" i="24"/>
  <c r="D111" i="24"/>
  <c r="D110" i="24"/>
  <c r="D109" i="24"/>
  <c r="D106" i="24"/>
  <c r="D104" i="24"/>
  <c r="F111" i="24"/>
  <c r="F110" i="24"/>
  <c r="F109" i="24"/>
  <c r="F105" i="24"/>
  <c r="F103" i="24"/>
  <c r="B98" i="24"/>
  <c r="B97" i="24"/>
  <c r="B96" i="24"/>
  <c r="B91" i="24"/>
  <c r="B90" i="24"/>
  <c r="D98" i="24"/>
  <c r="D97" i="24"/>
  <c r="D96" i="24"/>
  <c r="D93" i="24"/>
  <c r="D90" i="24"/>
  <c r="F98" i="24"/>
  <c r="F97" i="24"/>
  <c r="F96" i="24"/>
  <c r="F93" i="24"/>
  <c r="F92" i="24"/>
  <c r="F90" i="24"/>
  <c r="F85" i="24"/>
  <c r="D85" i="24"/>
  <c r="B85" i="24"/>
  <c r="B80" i="24"/>
  <c r="B93" i="24" s="1"/>
  <c r="B79" i="24"/>
  <c r="B105" i="24" s="1"/>
  <c r="B78" i="24"/>
  <c r="B104" i="24" s="1"/>
  <c r="B77" i="24"/>
  <c r="B75" i="24"/>
  <c r="B101" i="24" s="1"/>
  <c r="D80" i="24"/>
  <c r="D79" i="24"/>
  <c r="D105" i="24" s="1"/>
  <c r="D78" i="24"/>
  <c r="D91" i="24" s="1"/>
  <c r="D77" i="24"/>
  <c r="D103" i="24" s="1"/>
  <c r="D75" i="24"/>
  <c r="D101" i="24" s="1"/>
  <c r="F80" i="24"/>
  <c r="F106" i="24" s="1"/>
  <c r="F79" i="24"/>
  <c r="F78" i="24"/>
  <c r="F104" i="24" s="1"/>
  <c r="F77" i="24"/>
  <c r="F75" i="24"/>
  <c r="F101" i="24" s="1"/>
  <c r="D69" i="24"/>
  <c r="D68" i="24"/>
  <c r="D67" i="24"/>
  <c r="D66" i="24"/>
  <c r="D64" i="24"/>
  <c r="B61" i="24"/>
  <c r="B60" i="24"/>
  <c r="B82" i="24" s="1"/>
  <c r="B95" i="24" s="1"/>
  <c r="B59" i="24"/>
  <c r="B81" i="24" s="1"/>
  <c r="D61" i="24"/>
  <c r="D60" i="24"/>
  <c r="D71" i="24" s="1"/>
  <c r="D59" i="24"/>
  <c r="D81" i="24" s="1"/>
  <c r="F61" i="24"/>
  <c r="F60" i="24"/>
  <c r="F82" i="24" s="1"/>
  <c r="F108" i="24" s="1"/>
  <c r="F59" i="24"/>
  <c r="F81" i="24" s="1"/>
  <c r="B56" i="24"/>
  <c r="D56" i="24"/>
  <c r="F56" i="24"/>
  <c r="B55" i="24"/>
  <c r="D55" i="24"/>
  <c r="F55" i="24"/>
  <c r="F53" i="24"/>
  <c r="D53" i="24"/>
  <c r="B53" i="24"/>
  <c r="B52" i="24"/>
  <c r="D52" i="24"/>
  <c r="F52" i="24"/>
  <c r="B50" i="24"/>
  <c r="D50" i="24"/>
  <c r="F50" i="24"/>
  <c r="F45" i="24"/>
  <c r="D45" i="24"/>
  <c r="B45" i="24"/>
  <c r="F43" i="24"/>
  <c r="F41" i="24"/>
  <c r="D43" i="24"/>
  <c r="D42" i="24" s="1"/>
  <c r="D41" i="24"/>
  <c r="B43" i="24"/>
  <c r="B41" i="24"/>
  <c r="F39" i="24"/>
  <c r="D39" i="24"/>
  <c r="B39" i="24"/>
  <c r="F37" i="24"/>
  <c r="D37" i="24"/>
  <c r="B37" i="24"/>
  <c r="B34" i="24"/>
  <c r="B33" i="24"/>
  <c r="B31" i="24"/>
  <c r="D34" i="24"/>
  <c r="D33" i="24"/>
  <c r="D31" i="24"/>
  <c r="D30" i="24"/>
  <c r="F34" i="24"/>
  <c r="F33" i="24"/>
  <c r="F31" i="24"/>
  <c r="F91" i="24" l="1"/>
  <c r="D38" i="24"/>
  <c r="D54" i="24" s="1"/>
  <c r="D76" i="24" s="1"/>
  <c r="D70" i="24"/>
  <c r="D82" i="24"/>
  <c r="D108" i="24" s="1"/>
  <c r="B38" i="24"/>
  <c r="B42" i="24"/>
  <c r="F38" i="24"/>
  <c r="D107" i="24"/>
  <c r="D94" i="24"/>
  <c r="F107" i="24"/>
  <c r="F94" i="24"/>
  <c r="B107" i="24"/>
  <c r="B94" i="24"/>
  <c r="F42" i="24"/>
  <c r="B108" i="24"/>
  <c r="F95" i="24"/>
  <c r="D92" i="24"/>
  <c r="B92" i="24"/>
  <c r="F88" i="24"/>
  <c r="D88" i="24"/>
  <c r="B88" i="24"/>
  <c r="F23" i="24"/>
  <c r="D23" i="24"/>
  <c r="B23" i="24"/>
  <c r="B28" i="24"/>
  <c r="F28" i="24"/>
  <c r="D28" i="24"/>
  <c r="B21" i="24"/>
  <c r="D21" i="24"/>
  <c r="F21" i="24"/>
  <c r="B32" i="24"/>
  <c r="D32" i="24"/>
  <c r="F32" i="24"/>
  <c r="AB25" i="24"/>
  <c r="X25" i="24"/>
  <c r="V25" i="24"/>
  <c r="T25" i="24"/>
  <c r="R25" i="24"/>
  <c r="N25" i="24"/>
  <c r="L25" i="24"/>
  <c r="J25" i="24"/>
  <c r="H25" i="24"/>
  <c r="D65" i="24" l="1"/>
  <c r="B54" i="24"/>
  <c r="B76" i="24" s="1"/>
  <c r="B102" i="24" s="1"/>
  <c r="D95" i="24"/>
  <c r="B89" i="24"/>
  <c r="F54" i="24"/>
  <c r="F76" i="24" s="1"/>
  <c r="D89" i="24"/>
  <c r="D102" i="24"/>
  <c r="B43" i="22"/>
  <c r="D47" i="22"/>
  <c r="D46" i="22"/>
  <c r="D45" i="22"/>
  <c r="D44" i="22"/>
  <c r="D63" i="24" s="1"/>
  <c r="D43" i="22"/>
  <c r="D42" i="22"/>
  <c r="D41" i="22"/>
  <c r="F48" i="22"/>
  <c r="F43" i="22"/>
  <c r="B32" i="22"/>
  <c r="B74" i="24" s="1"/>
  <c r="D32" i="22"/>
  <c r="D74" i="24" s="1"/>
  <c r="F32" i="22"/>
  <c r="F74" i="24" s="1"/>
  <c r="B30" i="22"/>
  <c r="B48" i="22" s="1"/>
  <c r="D30" i="22"/>
  <c r="D48" i="22" s="1"/>
  <c r="F30" i="22"/>
  <c r="F27" i="22"/>
  <c r="D27" i="22"/>
  <c r="B27" i="22"/>
  <c r="B19" i="22"/>
  <c r="D19" i="22"/>
  <c r="F19" i="22"/>
  <c r="D13" i="22"/>
  <c r="D15" i="22" s="1"/>
  <c r="B11" i="22"/>
  <c r="B13" i="22" s="1"/>
  <c r="D11" i="22"/>
  <c r="F11" i="22"/>
  <c r="F13" i="22" s="1"/>
  <c r="F15" i="22" s="1"/>
  <c r="D34" i="22" l="1"/>
  <c r="D87" i="24" s="1"/>
  <c r="D35" i="22"/>
  <c r="D100" i="24" s="1"/>
  <c r="F65" i="24"/>
  <c r="B34" i="22"/>
  <c r="B87" i="24" s="1"/>
  <c r="B35" i="22"/>
  <c r="B100" i="24" s="1"/>
  <c r="B42" i="22"/>
  <c r="B15" i="22"/>
  <c r="F34" i="22"/>
  <c r="F87" i="24" s="1"/>
  <c r="F35" i="22"/>
  <c r="F100" i="24" s="1"/>
  <c r="F47" i="22"/>
  <c r="F44" i="22"/>
  <c r="F63" i="24" s="1"/>
  <c r="F41" i="22"/>
  <c r="F30" i="24" s="1"/>
  <c r="F45" i="22"/>
  <c r="F68" i="24"/>
  <c r="F66" i="24"/>
  <c r="F69" i="24"/>
  <c r="F67" i="24"/>
  <c r="F64" i="24"/>
  <c r="F70" i="24"/>
  <c r="F71" i="24"/>
  <c r="F42" i="22"/>
  <c r="F46" i="22"/>
  <c r="F102" i="24"/>
  <c r="F89" i="24"/>
  <c r="AB110" i="24"/>
  <c r="AB109" i="24"/>
  <c r="AB97" i="24"/>
  <c r="AB96" i="24"/>
  <c r="X110" i="24"/>
  <c r="V110" i="24"/>
  <c r="T110" i="24"/>
  <c r="R110" i="24"/>
  <c r="X109" i="24"/>
  <c r="V109" i="24"/>
  <c r="T109" i="24"/>
  <c r="R109" i="24"/>
  <c r="X97" i="24"/>
  <c r="V97" i="24"/>
  <c r="T97" i="24"/>
  <c r="R97" i="24"/>
  <c r="X96" i="24"/>
  <c r="V96" i="24"/>
  <c r="T96" i="24"/>
  <c r="R96" i="24"/>
  <c r="N110" i="24"/>
  <c r="L110" i="24"/>
  <c r="J110" i="24"/>
  <c r="H110" i="24"/>
  <c r="N109" i="24"/>
  <c r="L109" i="24"/>
  <c r="J109" i="24"/>
  <c r="H109" i="24"/>
  <c r="N97" i="24"/>
  <c r="L97" i="24"/>
  <c r="J97" i="24"/>
  <c r="H97" i="24"/>
  <c r="N96" i="24"/>
  <c r="L96" i="24"/>
  <c r="J96" i="24"/>
  <c r="H96" i="24"/>
  <c r="B68" i="24" l="1"/>
  <c r="B66" i="24"/>
  <c r="B64" i="24"/>
  <c r="B67" i="24"/>
  <c r="B71" i="24"/>
  <c r="B69" i="24"/>
  <c r="B70" i="24"/>
  <c r="B65" i="24"/>
  <c r="B47" i="22"/>
  <c r="B45" i="22"/>
  <c r="B44" i="22"/>
  <c r="B63" i="24" s="1"/>
  <c r="B46" i="22"/>
  <c r="B41" i="22"/>
  <c r="B30" i="24" s="1"/>
  <c r="AB60" i="24"/>
  <c r="AB59" i="24"/>
  <c r="X60" i="24"/>
  <c r="V60" i="24"/>
  <c r="T60" i="24"/>
  <c r="R60" i="24"/>
  <c r="X59" i="24"/>
  <c r="V59" i="24"/>
  <c r="T59" i="24"/>
  <c r="R59" i="24"/>
  <c r="N60" i="24"/>
  <c r="L60" i="24"/>
  <c r="J60" i="24"/>
  <c r="H60" i="24"/>
  <c r="N59" i="24"/>
  <c r="L59" i="24"/>
  <c r="J59" i="24"/>
  <c r="H59" i="24"/>
  <c r="AB50" i="24"/>
  <c r="X50" i="24"/>
  <c r="V50" i="24"/>
  <c r="T50" i="24"/>
  <c r="R50" i="24"/>
  <c r="N50" i="24"/>
  <c r="L50" i="24"/>
  <c r="J50" i="24"/>
  <c r="H50" i="24"/>
  <c r="AB45" i="24"/>
  <c r="V45" i="24"/>
  <c r="T45" i="24"/>
  <c r="R45" i="24"/>
  <c r="N45" i="24"/>
  <c r="L45" i="24"/>
  <c r="J45" i="24"/>
  <c r="H45" i="24"/>
  <c r="AB43" i="24"/>
  <c r="AB41" i="24"/>
  <c r="X43" i="24"/>
  <c r="V43" i="24"/>
  <c r="T43" i="24"/>
  <c r="R43" i="24"/>
  <c r="X41" i="24"/>
  <c r="V41" i="24"/>
  <c r="T41" i="24"/>
  <c r="T42" i="24" s="1"/>
  <c r="R41" i="24"/>
  <c r="R42" i="24" s="1"/>
  <c r="N43" i="24"/>
  <c r="L43" i="24"/>
  <c r="J43" i="24"/>
  <c r="H43" i="24"/>
  <c r="N41" i="24"/>
  <c r="N42" i="24" s="1"/>
  <c r="L41" i="24"/>
  <c r="L42" i="24" s="1"/>
  <c r="J41" i="24"/>
  <c r="H41" i="24"/>
  <c r="AB39" i="24"/>
  <c r="AB37" i="24"/>
  <c r="X39" i="24"/>
  <c r="V39" i="24"/>
  <c r="T39" i="24"/>
  <c r="R39" i="24"/>
  <c r="X37" i="24"/>
  <c r="V37" i="24"/>
  <c r="T37" i="24"/>
  <c r="R37" i="24"/>
  <c r="N39" i="24"/>
  <c r="L39" i="24"/>
  <c r="J39" i="24"/>
  <c r="H39" i="24"/>
  <c r="N37" i="24"/>
  <c r="L37" i="24"/>
  <c r="J37" i="24"/>
  <c r="H37" i="24"/>
  <c r="AB19" i="22"/>
  <c r="AB15" i="24" s="1"/>
  <c r="X19" i="22"/>
  <c r="X15" i="24" s="1"/>
  <c r="V19" i="22"/>
  <c r="V15" i="24" s="1"/>
  <c r="T19" i="22"/>
  <c r="T15" i="24" s="1"/>
  <c r="R19" i="22"/>
  <c r="N19" i="22"/>
  <c r="N15" i="24" s="1"/>
  <c r="L19" i="22"/>
  <c r="L15" i="24" s="1"/>
  <c r="J19" i="22"/>
  <c r="J15" i="24" s="1"/>
  <c r="H19" i="22"/>
  <c r="AB43" i="22"/>
  <c r="X43" i="22"/>
  <c r="V43" i="22"/>
  <c r="T43" i="22"/>
  <c r="R43" i="22"/>
  <c r="N43" i="22"/>
  <c r="L43" i="22"/>
  <c r="J43" i="22"/>
  <c r="H43" i="22"/>
  <c r="Z17" i="22"/>
  <c r="P12" i="22"/>
  <c r="P9" i="22"/>
  <c r="V42" i="24" l="1"/>
  <c r="V38" i="24"/>
  <c r="T38" i="24"/>
  <c r="T54" i="24" s="1"/>
  <c r="H38" i="24"/>
  <c r="R38" i="24"/>
  <c r="L38" i="24"/>
  <c r="L54" i="24" s="1"/>
  <c r="R54" i="24"/>
  <c r="AB38" i="24"/>
  <c r="P19" i="22"/>
  <c r="P15" i="24" s="1"/>
  <c r="H15" i="24"/>
  <c r="Z19" i="22"/>
  <c r="Z15" i="24" s="1"/>
  <c r="R15" i="24"/>
  <c r="J42" i="24"/>
  <c r="J38" i="24"/>
  <c r="J54" i="24" s="1"/>
  <c r="AB42" i="24"/>
  <c r="X42" i="24"/>
  <c r="N38" i="24"/>
  <c r="N54" i="24" s="1"/>
  <c r="X38" i="24"/>
  <c r="X54" i="24" s="1"/>
  <c r="H42" i="24"/>
  <c r="V54" i="24" l="1"/>
  <c r="H54" i="24"/>
  <c r="AB54" i="24"/>
  <c r="Z31" i="22"/>
  <c r="P31" i="22"/>
  <c r="Z29" i="22"/>
  <c r="P29" i="22"/>
  <c r="AB27" i="22"/>
  <c r="Y27" i="22"/>
  <c r="V27" i="22"/>
  <c r="U27" i="22"/>
  <c r="T27" i="22"/>
  <c r="S27" i="22"/>
  <c r="R27" i="22"/>
  <c r="Q27" i="22"/>
  <c r="O27" i="22"/>
  <c r="N27" i="22"/>
  <c r="M27" i="22"/>
  <c r="L27" i="22"/>
  <c r="K27" i="22"/>
  <c r="J27" i="22"/>
  <c r="I27" i="22"/>
  <c r="H27" i="22"/>
  <c r="G27" i="22"/>
  <c r="Z26" i="22"/>
  <c r="Z59" i="24" s="1"/>
  <c r="P26" i="22"/>
  <c r="P59" i="24" s="1"/>
  <c r="Z25" i="22"/>
  <c r="P25" i="22"/>
  <c r="X45" i="24"/>
  <c r="P24" i="22"/>
  <c r="P45" i="24" s="1"/>
  <c r="Z23" i="22"/>
  <c r="Z41" i="24" s="1"/>
  <c r="P23" i="22"/>
  <c r="P41" i="24" s="1"/>
  <c r="Z22" i="22"/>
  <c r="Z37" i="24" s="1"/>
  <c r="P22" i="22"/>
  <c r="P37" i="24" s="1"/>
  <c r="Y20" i="22"/>
  <c r="U20" i="22"/>
  <c r="S20" i="22"/>
  <c r="Q20" i="22"/>
  <c r="O20" i="22"/>
  <c r="M20" i="22"/>
  <c r="K20" i="22"/>
  <c r="I20" i="22"/>
  <c r="G20" i="22"/>
  <c r="Z18" i="22"/>
  <c r="P18" i="22"/>
  <c r="Z14" i="22"/>
  <c r="P14" i="22"/>
  <c r="AB11" i="22"/>
  <c r="X11" i="22"/>
  <c r="X13" i="22" s="1"/>
  <c r="V11" i="22"/>
  <c r="V13" i="22" s="1"/>
  <c r="T11" i="22"/>
  <c r="T13" i="22" s="1"/>
  <c r="R11" i="22"/>
  <c r="N11" i="22"/>
  <c r="L11" i="22"/>
  <c r="J11" i="22"/>
  <c r="H11" i="22"/>
  <c r="Z10" i="22"/>
  <c r="P10" i="22"/>
  <c r="AB43" i="23"/>
  <c r="X43" i="23"/>
  <c r="V43" i="23"/>
  <c r="T43" i="23"/>
  <c r="R43" i="23"/>
  <c r="N43" i="23"/>
  <c r="L43" i="23"/>
  <c r="J43" i="23"/>
  <c r="H43" i="23"/>
  <c r="P12" i="23"/>
  <c r="G28" i="22" l="1"/>
  <c r="O28" i="22"/>
  <c r="K28" i="22"/>
  <c r="S28" i="22"/>
  <c r="P11" i="22"/>
  <c r="P13" i="22" s="1"/>
  <c r="P15" i="22" s="1"/>
  <c r="P43" i="22"/>
  <c r="N13" i="22"/>
  <c r="N42" i="22" s="1"/>
  <c r="H13" i="22"/>
  <c r="H42" i="22" s="1"/>
  <c r="V15" i="22"/>
  <c r="V42" i="22"/>
  <c r="X15" i="22"/>
  <c r="X42" i="22"/>
  <c r="Z43" i="22"/>
  <c r="U28" i="22"/>
  <c r="T15" i="22"/>
  <c r="T42" i="22"/>
  <c r="Z24" i="22"/>
  <c r="Z45" i="24" s="1"/>
  <c r="P27" i="22"/>
  <c r="Q28" i="22"/>
  <c r="I28" i="22"/>
  <c r="M28" i="22"/>
  <c r="J13" i="22"/>
  <c r="R13" i="22"/>
  <c r="AB13" i="22"/>
  <c r="L13" i="22"/>
  <c r="Z11" i="22"/>
  <c r="Z13" i="22" s="1"/>
  <c r="X27" i="22"/>
  <c r="Y28" i="22"/>
  <c r="AB42" i="22" l="1"/>
  <c r="AB15" i="22"/>
  <c r="N15" i="22"/>
  <c r="N45" i="21" s="1"/>
  <c r="Z27" i="22"/>
  <c r="H15" i="22"/>
  <c r="H69" i="24" s="1"/>
  <c r="X71" i="24"/>
  <c r="V45" i="21"/>
  <c r="X70" i="24"/>
  <c r="X8" i="24"/>
  <c r="V71" i="24"/>
  <c r="T45" i="21"/>
  <c r="V70" i="24"/>
  <c r="V68" i="24"/>
  <c r="V8" i="24"/>
  <c r="T69" i="24"/>
  <c r="T70" i="24"/>
  <c r="T71" i="24"/>
  <c r="R45" i="21"/>
  <c r="T68" i="24"/>
  <c r="T8" i="24"/>
  <c r="N20" i="22"/>
  <c r="N28" i="22" s="1"/>
  <c r="N52" i="24" s="1"/>
  <c r="N69" i="24"/>
  <c r="N68" i="24"/>
  <c r="N71" i="24"/>
  <c r="N70" i="24"/>
  <c r="N8" i="24"/>
  <c r="P42" i="22"/>
  <c r="P46" i="22"/>
  <c r="P20" i="22"/>
  <c r="P41" i="22" s="1"/>
  <c r="P30" i="24" s="1"/>
  <c r="P47" i="22"/>
  <c r="P69" i="24"/>
  <c r="P68" i="24"/>
  <c r="P70" i="24"/>
  <c r="P8" i="24"/>
  <c r="H45" i="21"/>
  <c r="P45" i="22"/>
  <c r="R15" i="22"/>
  <c r="R42" i="22"/>
  <c r="X46" i="22"/>
  <c r="X45" i="22"/>
  <c r="J15" i="22"/>
  <c r="J20" i="22" s="1"/>
  <c r="J42" i="22"/>
  <c r="T46" i="22"/>
  <c r="T45" i="22"/>
  <c r="T47" i="22"/>
  <c r="Z15" i="22"/>
  <c r="Z42" i="22"/>
  <c r="L15" i="22"/>
  <c r="L42" i="22"/>
  <c r="N45" i="22"/>
  <c r="N47" i="22"/>
  <c r="N46" i="22"/>
  <c r="X47" i="22"/>
  <c r="V45" i="22"/>
  <c r="V47" i="22"/>
  <c r="V46" i="22"/>
  <c r="T20" i="22"/>
  <c r="T23" i="24" s="1"/>
  <c r="X20" i="22"/>
  <c r="V20" i="22"/>
  <c r="H8" i="24" l="1"/>
  <c r="H70" i="24"/>
  <c r="H20" i="22"/>
  <c r="H23" i="24" s="1"/>
  <c r="H46" i="22"/>
  <c r="H45" i="22"/>
  <c r="H68" i="24"/>
  <c r="H47" i="22"/>
  <c r="H71" i="24"/>
  <c r="R20" i="22"/>
  <c r="R41" i="22" s="1"/>
  <c r="R30" i="24" s="1"/>
  <c r="X45" i="21"/>
  <c r="AB69" i="24"/>
  <c r="AB68" i="24"/>
  <c r="AB8" i="24"/>
  <c r="AB71" i="24"/>
  <c r="AB70" i="24"/>
  <c r="X41" i="22"/>
  <c r="X30" i="24" s="1"/>
  <c r="X23" i="24"/>
  <c r="X32" i="24"/>
  <c r="X31" i="24"/>
  <c r="X34" i="24"/>
  <c r="X33" i="24"/>
  <c r="V41" i="22"/>
  <c r="V30" i="24" s="1"/>
  <c r="V23" i="24"/>
  <c r="Z70" i="24"/>
  <c r="Z8" i="24"/>
  <c r="R68" i="24"/>
  <c r="R71" i="24"/>
  <c r="P45" i="21"/>
  <c r="R70" i="24"/>
  <c r="R69" i="24"/>
  <c r="R8" i="24"/>
  <c r="P28" i="22"/>
  <c r="P30" i="22" s="1"/>
  <c r="P48" i="22" s="1"/>
  <c r="P23" i="24"/>
  <c r="N41" i="22"/>
  <c r="N30" i="24" s="1"/>
  <c r="N23" i="24"/>
  <c r="L45" i="21"/>
  <c r="L71" i="24"/>
  <c r="L69" i="24"/>
  <c r="L70" i="24"/>
  <c r="L68" i="24"/>
  <c r="L8" i="24"/>
  <c r="L20" i="22"/>
  <c r="J41" i="22"/>
  <c r="J30" i="24" s="1"/>
  <c r="J23" i="24"/>
  <c r="J45" i="21"/>
  <c r="J71" i="24"/>
  <c r="J68" i="24"/>
  <c r="J69" i="24"/>
  <c r="J70" i="24"/>
  <c r="J8" i="24"/>
  <c r="AB46" i="22"/>
  <c r="AB45" i="22"/>
  <c r="AB47" i="22"/>
  <c r="Z46" i="22"/>
  <c r="Z45" i="22"/>
  <c r="Z47" i="22"/>
  <c r="AB20" i="22"/>
  <c r="L46" i="22"/>
  <c r="L45" i="22"/>
  <c r="L47" i="22"/>
  <c r="J47" i="22"/>
  <c r="J46" i="22"/>
  <c r="J45" i="22"/>
  <c r="R47" i="22"/>
  <c r="R46" i="22"/>
  <c r="R45" i="22"/>
  <c r="T28" i="22"/>
  <c r="T41" i="22"/>
  <c r="T30" i="24" s="1"/>
  <c r="N30" i="22"/>
  <c r="N48" i="22" s="1"/>
  <c r="N44" i="22"/>
  <c r="N63" i="24" s="1"/>
  <c r="X28" i="22"/>
  <c r="J28" i="22"/>
  <c r="L28" i="22"/>
  <c r="V28" i="22"/>
  <c r="R28" i="22" l="1"/>
  <c r="R30" i="22" s="1"/>
  <c r="R48" i="22" s="1"/>
  <c r="P52" i="24"/>
  <c r="H28" i="22"/>
  <c r="H52" i="24" s="1"/>
  <c r="P44" i="22"/>
  <c r="P63" i="24" s="1"/>
  <c r="R23" i="24"/>
  <c r="H41" i="22"/>
  <c r="H30" i="24" s="1"/>
  <c r="Z20" i="22"/>
  <c r="Z41" i="22" s="1"/>
  <c r="Z30" i="24" s="1"/>
  <c r="AB41" i="22"/>
  <c r="AB30" i="24" s="1"/>
  <c r="AB23" i="24"/>
  <c r="N32" i="22"/>
  <c r="N74" i="24" s="1"/>
  <c r="X44" i="22"/>
  <c r="X63" i="24" s="1"/>
  <c r="X52" i="24"/>
  <c r="V44" i="22"/>
  <c r="V63" i="24" s="1"/>
  <c r="V52" i="24"/>
  <c r="T44" i="22"/>
  <c r="T63" i="24" s="1"/>
  <c r="T52" i="24"/>
  <c r="T30" i="22"/>
  <c r="T48" i="22" s="1"/>
  <c r="R44" i="22"/>
  <c r="R63" i="24" s="1"/>
  <c r="R52" i="24"/>
  <c r="L44" i="22"/>
  <c r="L63" i="24" s="1"/>
  <c r="L52" i="24"/>
  <c r="L41" i="22"/>
  <c r="L30" i="24" s="1"/>
  <c r="L23" i="24"/>
  <c r="J44" i="22"/>
  <c r="J63" i="24" s="1"/>
  <c r="J52" i="24"/>
  <c r="AB28" i="22"/>
  <c r="AB30" i="22" s="1"/>
  <c r="AB48" i="22" s="1"/>
  <c r="J30" i="22"/>
  <c r="J48" i="22" s="1"/>
  <c r="V30" i="22"/>
  <c r="V48" i="22" s="1"/>
  <c r="L30" i="22"/>
  <c r="L48" i="22" s="1"/>
  <c r="X30" i="22"/>
  <c r="X48" i="22" s="1"/>
  <c r="P32" i="22"/>
  <c r="P74" i="24" s="1"/>
  <c r="T32" i="22" l="1"/>
  <c r="T74" i="24" s="1"/>
  <c r="H30" i="22"/>
  <c r="H48" i="22" s="1"/>
  <c r="H44" i="22"/>
  <c r="H63" i="24" s="1"/>
  <c r="Z28" i="22"/>
  <c r="Z44" i="22" s="1"/>
  <c r="Z63" i="24" s="1"/>
  <c r="Z23" i="24"/>
  <c r="N34" i="22"/>
  <c r="N87" i="24" s="1"/>
  <c r="N35" i="22"/>
  <c r="N100" i="24" s="1"/>
  <c r="AB44" i="22"/>
  <c r="AB63" i="24" s="1"/>
  <c r="AB52" i="24"/>
  <c r="AB32" i="22"/>
  <c r="X32" i="22"/>
  <c r="X74" i="24" s="1"/>
  <c r="P35" i="22"/>
  <c r="P100" i="24" s="1"/>
  <c r="P34" i="22"/>
  <c r="P87" i="24" s="1"/>
  <c r="V32" i="22"/>
  <c r="V74" i="24" s="1"/>
  <c r="R32" i="22"/>
  <c r="R74" i="24" s="1"/>
  <c r="L32" i="22"/>
  <c r="L74" i="24" s="1"/>
  <c r="J32" i="22"/>
  <c r="J74" i="24" s="1"/>
  <c r="H32" i="22" l="1"/>
  <c r="H74" i="24" s="1"/>
  <c r="Z30" i="22"/>
  <c r="Z48" i="22" s="1"/>
  <c r="T35" i="22"/>
  <c r="T100" i="24" s="1"/>
  <c r="T34" i="22"/>
  <c r="T87" i="24" s="1"/>
  <c r="Z52" i="24"/>
  <c r="AB35" i="22"/>
  <c r="AB100" i="24" s="1"/>
  <c r="AB74" i="24"/>
  <c r="AB34" i="22"/>
  <c r="AB87" i="24" s="1"/>
  <c r="J34" i="22"/>
  <c r="J87" i="24" s="1"/>
  <c r="J35" i="22"/>
  <c r="J100" i="24" s="1"/>
  <c r="H35" i="22"/>
  <c r="H100" i="24" s="1"/>
  <c r="H34" i="22"/>
  <c r="H87" i="24" s="1"/>
  <c r="R35" i="22"/>
  <c r="R100" i="24" s="1"/>
  <c r="R34" i="22"/>
  <c r="R87" i="24" s="1"/>
  <c r="V35" i="22"/>
  <c r="V100" i="24" s="1"/>
  <c r="V34" i="22"/>
  <c r="V87" i="24" s="1"/>
  <c r="L35" i="22"/>
  <c r="L100" i="24" s="1"/>
  <c r="L34" i="22"/>
  <c r="L87" i="24" s="1"/>
  <c r="X35" i="22"/>
  <c r="X100" i="24" s="1"/>
  <c r="X34" i="22"/>
  <c r="X87" i="24" s="1"/>
  <c r="Z32" i="22" l="1"/>
  <c r="Z74" i="24" s="1"/>
  <c r="Z35" i="22" l="1"/>
  <c r="Z100" i="24" s="1"/>
  <c r="Z34" i="22"/>
  <c r="Z87" i="24" s="1"/>
  <c r="Z18" i="23"/>
  <c r="P18" i="23"/>
  <c r="Z17" i="23"/>
  <c r="P17" i="23"/>
  <c r="Z31" i="23"/>
  <c r="P31" i="23"/>
  <c r="Z29" i="23"/>
  <c r="P29" i="23"/>
  <c r="AB27" i="23"/>
  <c r="X27" i="23"/>
  <c r="V27" i="23"/>
  <c r="U27" i="23"/>
  <c r="T27" i="23"/>
  <c r="S27" i="23"/>
  <c r="S28" i="23" s="1"/>
  <c r="R27" i="23"/>
  <c r="O27" i="23"/>
  <c r="O28" i="23" s="1"/>
  <c r="N27" i="23"/>
  <c r="M27" i="23"/>
  <c r="L27" i="23"/>
  <c r="K27" i="23"/>
  <c r="J27" i="23"/>
  <c r="I27" i="23"/>
  <c r="H27" i="23"/>
  <c r="Z26" i="23"/>
  <c r="P26" i="23"/>
  <c r="Z25" i="23"/>
  <c r="P25" i="23"/>
  <c r="Z24" i="23"/>
  <c r="Z50" i="24" s="1"/>
  <c r="P24" i="23"/>
  <c r="P50" i="24" s="1"/>
  <c r="Z23" i="23"/>
  <c r="Z43" i="24" s="1"/>
  <c r="Z42" i="24" s="1"/>
  <c r="P23" i="23"/>
  <c r="P43" i="24" s="1"/>
  <c r="P42" i="24" s="1"/>
  <c r="Z22" i="23"/>
  <c r="Z39" i="24" s="1"/>
  <c r="Z38" i="24" s="1"/>
  <c r="P22" i="23"/>
  <c r="P39" i="24" s="1"/>
  <c r="P38" i="24" s="1"/>
  <c r="AB21" i="24"/>
  <c r="X19" i="23"/>
  <c r="X21" i="24" s="1"/>
  <c r="V19" i="23"/>
  <c r="V21" i="24" s="1"/>
  <c r="T19" i="23"/>
  <c r="T21" i="24" s="1"/>
  <c r="R19" i="23"/>
  <c r="R21" i="24" s="1"/>
  <c r="N19" i="23"/>
  <c r="N21" i="24" s="1"/>
  <c r="L19" i="23"/>
  <c r="L21" i="24" s="1"/>
  <c r="J19" i="23"/>
  <c r="J21" i="24" s="1"/>
  <c r="H19" i="23"/>
  <c r="H21" i="24" s="1"/>
  <c r="Z14" i="23"/>
  <c r="P14" i="23"/>
  <c r="AB11" i="23"/>
  <c r="AB13" i="23" s="1"/>
  <c r="X11" i="23"/>
  <c r="V11" i="23"/>
  <c r="V13" i="23" s="1"/>
  <c r="T11" i="23"/>
  <c r="T13" i="23" s="1"/>
  <c r="R11" i="23"/>
  <c r="N11" i="23"/>
  <c r="L11" i="23"/>
  <c r="J11" i="23"/>
  <c r="H11" i="23"/>
  <c r="Z10" i="23"/>
  <c r="P10" i="23"/>
  <c r="P9" i="23"/>
  <c r="AB42" i="23" l="1"/>
  <c r="AB15" i="23"/>
  <c r="P43" i="23"/>
  <c r="B43" i="23"/>
  <c r="Z43" i="23"/>
  <c r="D43" i="23"/>
  <c r="R13" i="23"/>
  <c r="N13" i="23"/>
  <c r="N42" i="23" s="1"/>
  <c r="L13" i="23"/>
  <c r="L15" i="23" s="1"/>
  <c r="J13" i="23"/>
  <c r="H13" i="23"/>
  <c r="V15" i="23"/>
  <c r="V13" i="24" s="1"/>
  <c r="V42" i="23"/>
  <c r="R15" i="23"/>
  <c r="T15" i="23"/>
  <c r="T13" i="24" s="1"/>
  <c r="T42" i="23"/>
  <c r="F43" i="23"/>
  <c r="P11" i="23"/>
  <c r="K28" i="23"/>
  <c r="M28" i="23"/>
  <c r="U28" i="23"/>
  <c r="X13" i="23"/>
  <c r="AB13" i="24"/>
  <c r="Z11" i="23"/>
  <c r="Z13" i="23" s="1"/>
  <c r="P19" i="23"/>
  <c r="P21" i="24" s="1"/>
  <c r="P27" i="23"/>
  <c r="Z19" i="23"/>
  <c r="Z21" i="24" s="1"/>
  <c r="I28" i="23"/>
  <c r="Z27" i="23"/>
  <c r="N15" i="23" l="1"/>
  <c r="N13" i="24" s="1"/>
  <c r="L42" i="23"/>
  <c r="R42" i="23"/>
  <c r="T20" i="23"/>
  <c r="T28" i="23" s="1"/>
  <c r="R13" i="24"/>
  <c r="L13" i="24"/>
  <c r="J42" i="23"/>
  <c r="J15" i="23"/>
  <c r="J47" i="23" s="1"/>
  <c r="H42" i="23"/>
  <c r="P13" i="23"/>
  <c r="P42" i="23" s="1"/>
  <c r="H15" i="23"/>
  <c r="H46" i="23" s="1"/>
  <c r="AB20" i="23"/>
  <c r="AB28" i="23" s="1"/>
  <c r="AB47" i="23"/>
  <c r="AB46" i="23"/>
  <c r="AB45" i="23"/>
  <c r="D42" i="23"/>
  <c r="Z15" i="23"/>
  <c r="Z13" i="24" s="1"/>
  <c r="Z42" i="23"/>
  <c r="F42" i="23"/>
  <c r="X15" i="23"/>
  <c r="X13" i="24" s="1"/>
  <c r="X42" i="23"/>
  <c r="T47" i="23"/>
  <c r="T46" i="23"/>
  <c r="T45" i="23"/>
  <c r="R20" i="23"/>
  <c r="R28" i="23" s="1"/>
  <c r="R47" i="23"/>
  <c r="R46" i="23"/>
  <c r="R45" i="23"/>
  <c r="B42" i="23"/>
  <c r="L20" i="23"/>
  <c r="L46" i="23"/>
  <c r="L45" i="23"/>
  <c r="L47" i="23"/>
  <c r="V20" i="23"/>
  <c r="V46" i="23"/>
  <c r="V45" i="23"/>
  <c r="V47" i="23"/>
  <c r="L28" i="23"/>
  <c r="J45" i="23" l="1"/>
  <c r="N47" i="23"/>
  <c r="N20" i="23"/>
  <c r="N41" i="23" s="1"/>
  <c r="N35" i="24" s="1"/>
  <c r="N46" i="23"/>
  <c r="J46" i="23"/>
  <c r="N45" i="23"/>
  <c r="J20" i="23"/>
  <c r="J28" i="23" s="1"/>
  <c r="AB44" i="23"/>
  <c r="AB72" i="24" s="1"/>
  <c r="AB61" i="24"/>
  <c r="AB41" i="23"/>
  <c r="AB35" i="24" s="1"/>
  <c r="AB28" i="24"/>
  <c r="H20" i="23"/>
  <c r="H28" i="24" s="1"/>
  <c r="V41" i="23"/>
  <c r="V35" i="24" s="1"/>
  <c r="V28" i="24"/>
  <c r="T44" i="23"/>
  <c r="T72" i="24" s="1"/>
  <c r="T61" i="24"/>
  <c r="T41" i="23"/>
  <c r="T35" i="24" s="1"/>
  <c r="T28" i="24"/>
  <c r="R44" i="23"/>
  <c r="R72" i="24" s="1"/>
  <c r="R61" i="24"/>
  <c r="R41" i="23"/>
  <c r="R35" i="24" s="1"/>
  <c r="R28" i="24"/>
  <c r="L44" i="23"/>
  <c r="L72" i="24" s="1"/>
  <c r="L61" i="24"/>
  <c r="L41" i="23"/>
  <c r="L35" i="24" s="1"/>
  <c r="L28" i="24"/>
  <c r="J13" i="24"/>
  <c r="H13" i="24"/>
  <c r="P15" i="23"/>
  <c r="P45" i="23" s="1"/>
  <c r="H45" i="23"/>
  <c r="H47" i="23"/>
  <c r="F41" i="23"/>
  <c r="F35" i="24" s="1"/>
  <c r="B47" i="23"/>
  <c r="B45" i="23"/>
  <c r="B46" i="23"/>
  <c r="X20" i="23"/>
  <c r="X45" i="23"/>
  <c r="X47" i="23"/>
  <c r="X46" i="23"/>
  <c r="Z20" i="23"/>
  <c r="Z47" i="23"/>
  <c r="Z46" i="23"/>
  <c r="Z45" i="23"/>
  <c r="F45" i="23"/>
  <c r="F47" i="23"/>
  <c r="F46" i="23"/>
  <c r="D46" i="23"/>
  <c r="D47" i="23"/>
  <c r="D45" i="23"/>
  <c r="AB30" i="23"/>
  <c r="AB48" i="23" s="1"/>
  <c r="V28" i="23"/>
  <c r="L30" i="23"/>
  <c r="L48" i="23" s="1"/>
  <c r="T30" i="23"/>
  <c r="T48" i="23" s="1"/>
  <c r="R30" i="23"/>
  <c r="R48" i="23" s="1"/>
  <c r="N28" i="24" l="1"/>
  <c r="N28" i="23"/>
  <c r="N44" i="23" s="1"/>
  <c r="N72" i="24" s="1"/>
  <c r="H41" i="23"/>
  <c r="H35" i="24" s="1"/>
  <c r="J28" i="24"/>
  <c r="J41" i="23"/>
  <c r="J35" i="24" s="1"/>
  <c r="H28" i="23"/>
  <c r="H30" i="23" s="1"/>
  <c r="H48" i="23" s="1"/>
  <c r="F44" i="23"/>
  <c r="F72" i="24" s="1"/>
  <c r="D41" i="23"/>
  <c r="D35" i="24" s="1"/>
  <c r="B41" i="23"/>
  <c r="B35" i="24" s="1"/>
  <c r="X41" i="23"/>
  <c r="X35" i="24" s="1"/>
  <c r="X28" i="24"/>
  <c r="X28" i="23"/>
  <c r="X30" i="23" s="1"/>
  <c r="X48" i="23" s="1"/>
  <c r="V44" i="23"/>
  <c r="V72" i="24" s="1"/>
  <c r="V61" i="24"/>
  <c r="Z41" i="23"/>
  <c r="Z35" i="24" s="1"/>
  <c r="Z28" i="24"/>
  <c r="J44" i="23"/>
  <c r="J72" i="24" s="1"/>
  <c r="J61" i="24"/>
  <c r="P13" i="24"/>
  <c r="P20" i="23"/>
  <c r="P46" i="23"/>
  <c r="P47" i="23"/>
  <c r="F48" i="23"/>
  <c r="J30" i="23"/>
  <c r="V30" i="23"/>
  <c r="V48" i="23" s="1"/>
  <c r="T32" i="23"/>
  <c r="T85" i="24" s="1"/>
  <c r="L32" i="23"/>
  <c r="L85" i="24" s="1"/>
  <c r="AB32" i="23"/>
  <c r="AB85" i="24" s="1"/>
  <c r="R32" i="23"/>
  <c r="R85" i="24" s="1"/>
  <c r="Z28" i="23"/>
  <c r="H61" i="24" l="1"/>
  <c r="N61" i="24"/>
  <c r="N30" i="23"/>
  <c r="N48" i="23" s="1"/>
  <c r="H44" i="23"/>
  <c r="H72" i="24" s="1"/>
  <c r="B44" i="23"/>
  <c r="B72" i="24" s="1"/>
  <c r="D44" i="23"/>
  <c r="D72" i="24" s="1"/>
  <c r="X44" i="23"/>
  <c r="X72" i="24" s="1"/>
  <c r="X61" i="24"/>
  <c r="Z44" i="23"/>
  <c r="Z72" i="24" s="1"/>
  <c r="Z61" i="24"/>
  <c r="P41" i="23"/>
  <c r="P35" i="24" s="1"/>
  <c r="P28" i="24"/>
  <c r="P28" i="23"/>
  <c r="J32" i="23"/>
  <c r="J35" i="23" s="1"/>
  <c r="J111" i="24" s="1"/>
  <c r="J48" i="23"/>
  <c r="Z30" i="23"/>
  <c r="Z48" i="23" s="1"/>
  <c r="L34" i="23"/>
  <c r="L98" i="24" s="1"/>
  <c r="L35" i="23"/>
  <c r="L111" i="24" s="1"/>
  <c r="AB35" i="23"/>
  <c r="AB111" i="24" s="1"/>
  <c r="AB34" i="23"/>
  <c r="AB98" i="24" s="1"/>
  <c r="X32" i="23"/>
  <c r="X85" i="24" s="1"/>
  <c r="H32" i="23"/>
  <c r="H85" i="24" s="1"/>
  <c r="D48" i="23"/>
  <c r="R35" i="23"/>
  <c r="R111" i="24" s="1"/>
  <c r="R34" i="23"/>
  <c r="R98" i="24" s="1"/>
  <c r="V32" i="23"/>
  <c r="V85" i="24" s="1"/>
  <c r="N32" i="23"/>
  <c r="N85" i="24" s="1"/>
  <c r="B48" i="23"/>
  <c r="T35" i="23"/>
  <c r="T111" i="24" s="1"/>
  <c r="T34" i="23"/>
  <c r="T98" i="24" s="1"/>
  <c r="J34" i="23" l="1"/>
  <c r="J98" i="24" s="1"/>
  <c r="J85" i="24"/>
  <c r="P44" i="23"/>
  <c r="P72" i="24" s="1"/>
  <c r="P61" i="24"/>
  <c r="P30" i="23"/>
  <c r="V35" i="23"/>
  <c r="V111" i="24" s="1"/>
  <c r="V34" i="23"/>
  <c r="V98" i="24" s="1"/>
  <c r="H35" i="23"/>
  <c r="H111" i="24" s="1"/>
  <c r="H34" i="23"/>
  <c r="H98" i="24" s="1"/>
  <c r="X35" i="23"/>
  <c r="X111" i="24" s="1"/>
  <c r="X34" i="23"/>
  <c r="X98" i="24" s="1"/>
  <c r="Z32" i="23"/>
  <c r="Z85" i="24" s="1"/>
  <c r="N35" i="23"/>
  <c r="N111" i="24" s="1"/>
  <c r="N34" i="23"/>
  <c r="N98" i="24" s="1"/>
  <c r="P48" i="23" l="1"/>
  <c r="P32" i="23"/>
  <c r="Z35" i="23"/>
  <c r="Z111" i="24" s="1"/>
  <c r="Z34" i="23"/>
  <c r="Z98" i="24" s="1"/>
  <c r="P85" i="24" l="1"/>
  <c r="P34" i="23"/>
  <c r="P98" i="24" s="1"/>
  <c r="P35" i="23"/>
  <c r="P111" i="24" s="1"/>
  <c r="AB80" i="24" l="1"/>
  <c r="AB79" i="24"/>
  <c r="AB82" i="24"/>
  <c r="AB81" i="24"/>
  <c r="AB56" i="24"/>
  <c r="AB67" i="24" s="1"/>
  <c r="AB55" i="24"/>
  <c r="AB66" i="24" s="1"/>
  <c r="AB53" i="24"/>
  <c r="AB64" i="24" s="1"/>
  <c r="AB27" i="24"/>
  <c r="AB34" i="24" s="1"/>
  <c r="AB26" i="24"/>
  <c r="AB33" i="24" s="1"/>
  <c r="AB32" i="24"/>
  <c r="AB31" i="24"/>
  <c r="X41" i="21"/>
  <c r="X30" i="21"/>
  <c r="X35" i="21" s="1"/>
  <c r="X14" i="21"/>
  <c r="X20" i="21" s="1"/>
  <c r="AB107" i="24" l="1"/>
  <c r="AB94" i="24"/>
  <c r="AB108" i="24"/>
  <c r="AB95" i="24"/>
  <c r="AB92" i="24"/>
  <c r="AB105" i="24"/>
  <c r="AB106" i="24"/>
  <c r="AB93" i="24"/>
  <c r="AB65" i="24"/>
  <c r="AB78" i="24"/>
  <c r="AB75" i="24"/>
  <c r="AB77" i="24"/>
  <c r="X42" i="21"/>
  <c r="AB101" i="24" l="1"/>
  <c r="AB88" i="24"/>
  <c r="AB91" i="24"/>
  <c r="AB104" i="24"/>
  <c r="AB90" i="24"/>
  <c r="AB103" i="24"/>
  <c r="AB76" i="24"/>
  <c r="AB102" i="24" l="1"/>
  <c r="AB89" i="24"/>
  <c r="X58" i="24"/>
  <c r="X69" i="24" s="1"/>
  <c r="V58" i="24"/>
  <c r="V69" i="24" s="1"/>
  <c r="V39" i="21" l="1"/>
  <c r="V24" i="21"/>
  <c r="Z84" i="24" l="1"/>
  <c r="P84" i="24"/>
  <c r="Z83" i="24"/>
  <c r="P83" i="24"/>
  <c r="X80" i="24"/>
  <c r="V80" i="24"/>
  <c r="T80" i="24"/>
  <c r="R80" i="24"/>
  <c r="N80" i="24"/>
  <c r="L80" i="24"/>
  <c r="J80" i="24"/>
  <c r="H80" i="24"/>
  <c r="V79" i="24"/>
  <c r="T79" i="24"/>
  <c r="R79" i="24"/>
  <c r="N79" i="24"/>
  <c r="L79" i="24"/>
  <c r="J79" i="24"/>
  <c r="H79" i="24"/>
  <c r="X82" i="24"/>
  <c r="V82" i="24"/>
  <c r="T82" i="24"/>
  <c r="N82" i="24"/>
  <c r="L82" i="24"/>
  <c r="X81" i="24"/>
  <c r="V81" i="24"/>
  <c r="T81" i="24"/>
  <c r="R81" i="24"/>
  <c r="L81" i="24"/>
  <c r="J81" i="24"/>
  <c r="Z58" i="24"/>
  <c r="Z69" i="24" s="1"/>
  <c r="X57" i="24"/>
  <c r="X68" i="24" s="1"/>
  <c r="X56" i="24"/>
  <c r="V56" i="24"/>
  <c r="T56" i="24"/>
  <c r="T67" i="24" s="1"/>
  <c r="R56" i="24"/>
  <c r="R67" i="24" s="1"/>
  <c r="N56" i="24"/>
  <c r="L56" i="24"/>
  <c r="L67" i="24" s="1"/>
  <c r="J56" i="24"/>
  <c r="J67" i="24" s="1"/>
  <c r="H56" i="24"/>
  <c r="X55" i="24"/>
  <c r="X66" i="24" s="1"/>
  <c r="V55" i="24"/>
  <c r="V66" i="24" s="1"/>
  <c r="T55" i="24"/>
  <c r="R55" i="24"/>
  <c r="R66" i="24" s="1"/>
  <c r="N55" i="24"/>
  <c r="N66" i="24" s="1"/>
  <c r="L55" i="24"/>
  <c r="J55" i="24"/>
  <c r="H55" i="24"/>
  <c r="H66" i="24" s="1"/>
  <c r="X53" i="24"/>
  <c r="V53" i="24"/>
  <c r="T53" i="24"/>
  <c r="T64" i="24" s="1"/>
  <c r="R53" i="24"/>
  <c r="R64" i="24" s="1"/>
  <c r="N53" i="24"/>
  <c r="L53" i="24"/>
  <c r="L64" i="24" s="1"/>
  <c r="J53" i="24"/>
  <c r="J64" i="24" s="1"/>
  <c r="H53" i="24"/>
  <c r="H64" i="24" s="1"/>
  <c r="Z49" i="24"/>
  <c r="Z48" i="24"/>
  <c r="Z47" i="24"/>
  <c r="Z56" i="24" s="1"/>
  <c r="Z67" i="24" s="1"/>
  <c r="P47" i="24"/>
  <c r="P56" i="24" s="1"/>
  <c r="P67" i="24" s="1"/>
  <c r="Z46" i="24"/>
  <c r="P46" i="24"/>
  <c r="V27" i="24"/>
  <c r="V34" i="24" s="1"/>
  <c r="T27" i="24"/>
  <c r="T34" i="24" s="1"/>
  <c r="R27" i="24"/>
  <c r="R34" i="24" s="1"/>
  <c r="N27" i="24"/>
  <c r="N34" i="24" s="1"/>
  <c r="L27" i="24"/>
  <c r="L34" i="24" s="1"/>
  <c r="J27" i="24"/>
  <c r="J34" i="24" s="1"/>
  <c r="H27" i="24"/>
  <c r="H34" i="24" s="1"/>
  <c r="V26" i="24"/>
  <c r="V33" i="24" s="1"/>
  <c r="T26" i="24"/>
  <c r="T33" i="24" s="1"/>
  <c r="R26" i="24"/>
  <c r="R33" i="24" s="1"/>
  <c r="N26" i="24"/>
  <c r="N33" i="24" s="1"/>
  <c r="L26" i="24"/>
  <c r="L33" i="24" s="1"/>
  <c r="J26" i="24"/>
  <c r="J33" i="24" s="1"/>
  <c r="H26" i="24"/>
  <c r="H33" i="24" s="1"/>
  <c r="V32" i="24"/>
  <c r="T32" i="24"/>
  <c r="R32" i="24"/>
  <c r="N32" i="24"/>
  <c r="L32" i="24"/>
  <c r="J32" i="24"/>
  <c r="H32" i="24"/>
  <c r="V31" i="24"/>
  <c r="T31" i="24"/>
  <c r="R31" i="24"/>
  <c r="N31" i="24"/>
  <c r="L31" i="24"/>
  <c r="J31" i="24"/>
  <c r="H31" i="24"/>
  <c r="Z20" i="24"/>
  <c r="P20" i="24"/>
  <c r="Z19" i="24"/>
  <c r="P19" i="24"/>
  <c r="Z18" i="24"/>
  <c r="P18" i="24"/>
  <c r="Z17" i="24"/>
  <c r="P17" i="24"/>
  <c r="Z16" i="24"/>
  <c r="P16" i="24"/>
  <c r="Z12" i="24"/>
  <c r="P12" i="24"/>
  <c r="Z10" i="24"/>
  <c r="P10" i="24"/>
  <c r="Z9" i="24"/>
  <c r="P9" i="24"/>
  <c r="V41" i="21"/>
  <c r="T41" i="21"/>
  <c r="R41" i="21"/>
  <c r="P41" i="21"/>
  <c r="N41" i="21"/>
  <c r="L41" i="21"/>
  <c r="J41" i="21"/>
  <c r="H41" i="21"/>
  <c r="F41" i="21"/>
  <c r="D41" i="21"/>
  <c r="B41" i="21"/>
  <c r="V30" i="21"/>
  <c r="T30" i="21"/>
  <c r="T35" i="21" s="1"/>
  <c r="R30" i="21"/>
  <c r="R35" i="21" s="1"/>
  <c r="P30" i="21"/>
  <c r="P35" i="21" s="1"/>
  <c r="P42" i="21" s="1"/>
  <c r="N30" i="21"/>
  <c r="N35" i="21" s="1"/>
  <c r="L30" i="21"/>
  <c r="L35" i="21" s="1"/>
  <c r="J30" i="21"/>
  <c r="J35" i="21" s="1"/>
  <c r="H30" i="21"/>
  <c r="H35" i="21" s="1"/>
  <c r="H42" i="21" s="1"/>
  <c r="F30" i="21"/>
  <c r="F35" i="21" s="1"/>
  <c r="D30" i="21"/>
  <c r="D35" i="21" s="1"/>
  <c r="B30" i="21"/>
  <c r="B35" i="21" s="1"/>
  <c r="V14" i="21"/>
  <c r="V20" i="21" s="1"/>
  <c r="T14" i="21"/>
  <c r="T20" i="21" s="1"/>
  <c r="R14" i="21"/>
  <c r="R20" i="21" s="1"/>
  <c r="P14" i="21"/>
  <c r="P20" i="21" s="1"/>
  <c r="N14" i="21"/>
  <c r="N20" i="21" s="1"/>
  <c r="L14" i="21"/>
  <c r="L20" i="21" s="1"/>
  <c r="J14" i="21"/>
  <c r="J20" i="21" s="1"/>
  <c r="H14" i="21"/>
  <c r="H20" i="21" s="1"/>
  <c r="F14" i="21"/>
  <c r="F20" i="21" s="1"/>
  <c r="D14" i="21"/>
  <c r="D20" i="21" s="1"/>
  <c r="B14" i="21"/>
  <c r="B20" i="21" s="1"/>
  <c r="P54" i="24" l="1"/>
  <c r="P24" i="24"/>
  <c r="Z25" i="24"/>
  <c r="Z32" i="24" s="1"/>
  <c r="Z54" i="24"/>
  <c r="P25" i="24"/>
  <c r="P32" i="24" s="1"/>
  <c r="Z60" i="24"/>
  <c r="Z71" i="24" s="1"/>
  <c r="P27" i="24"/>
  <c r="P34" i="24" s="1"/>
  <c r="L77" i="24"/>
  <c r="L66" i="24"/>
  <c r="H78" i="24"/>
  <c r="H67" i="24"/>
  <c r="L106" i="24"/>
  <c r="L93" i="24"/>
  <c r="N75" i="24"/>
  <c r="N64" i="24"/>
  <c r="X75" i="24"/>
  <c r="X64" i="24"/>
  <c r="J77" i="24"/>
  <c r="J66" i="24"/>
  <c r="T77" i="24"/>
  <c r="T66" i="24"/>
  <c r="N78" i="24"/>
  <c r="N67" i="24"/>
  <c r="X78" i="24"/>
  <c r="X67" i="24"/>
  <c r="H75" i="24"/>
  <c r="L92" i="24"/>
  <c r="L105" i="24"/>
  <c r="J93" i="24"/>
  <c r="J106" i="24"/>
  <c r="P96" i="24"/>
  <c r="P109" i="24"/>
  <c r="Z97" i="24"/>
  <c r="Z110" i="24"/>
  <c r="Z109" i="24"/>
  <c r="Z96" i="24"/>
  <c r="H105" i="24"/>
  <c r="H92" i="24"/>
  <c r="N93" i="24"/>
  <c r="N106" i="24"/>
  <c r="X106" i="24"/>
  <c r="X93" i="24"/>
  <c r="N105" i="24"/>
  <c r="N92" i="24"/>
  <c r="Z27" i="24"/>
  <c r="Z34" i="24" s="1"/>
  <c r="P60" i="24"/>
  <c r="P71" i="24" s="1"/>
  <c r="V75" i="24"/>
  <c r="V64" i="24"/>
  <c r="V78" i="24"/>
  <c r="V67" i="24"/>
  <c r="R77" i="24"/>
  <c r="J92" i="24"/>
  <c r="J105" i="24"/>
  <c r="H93" i="24"/>
  <c r="H106" i="24"/>
  <c r="P110" i="24"/>
  <c r="P97" i="24"/>
  <c r="L42" i="21"/>
  <c r="T42" i="21"/>
  <c r="J107" i="24"/>
  <c r="J94" i="24"/>
  <c r="L94" i="24"/>
  <c r="L107" i="24"/>
  <c r="R94" i="24"/>
  <c r="R107" i="24"/>
  <c r="T94" i="24"/>
  <c r="T107" i="24"/>
  <c r="V107" i="24"/>
  <c r="V94" i="24"/>
  <c r="X94" i="24"/>
  <c r="X107" i="24"/>
  <c r="L95" i="24"/>
  <c r="L108" i="24"/>
  <c r="N95" i="24"/>
  <c r="N108" i="24"/>
  <c r="T108" i="24"/>
  <c r="T95" i="24"/>
  <c r="V95" i="24"/>
  <c r="V108" i="24"/>
  <c r="X95" i="24"/>
  <c r="X108" i="24"/>
  <c r="R105" i="24"/>
  <c r="R92" i="24"/>
  <c r="T92" i="24"/>
  <c r="T105" i="24"/>
  <c r="V92" i="24"/>
  <c r="V105" i="24"/>
  <c r="R93" i="24"/>
  <c r="R106" i="24"/>
  <c r="T93" i="24"/>
  <c r="T106" i="24"/>
  <c r="V93" i="24"/>
  <c r="V106" i="24"/>
  <c r="R65" i="24"/>
  <c r="J65" i="24"/>
  <c r="J42" i="21"/>
  <c r="R42" i="21"/>
  <c r="B42" i="21"/>
  <c r="D42" i="21"/>
  <c r="F42" i="21"/>
  <c r="N42" i="21"/>
  <c r="V35" i="21"/>
  <c r="V42" i="21" s="1"/>
  <c r="N65" i="24"/>
  <c r="T75" i="24"/>
  <c r="N77" i="24"/>
  <c r="Z81" i="24"/>
  <c r="R82" i="24"/>
  <c r="P26" i="24"/>
  <c r="P33" i="24" s="1"/>
  <c r="P55" i="24"/>
  <c r="P66" i="24" s="1"/>
  <c r="J75" i="24"/>
  <c r="L78" i="24"/>
  <c r="V77" i="24"/>
  <c r="Z31" i="24"/>
  <c r="Z53" i="24"/>
  <c r="Z64" i="24" s="1"/>
  <c r="H81" i="24"/>
  <c r="P53" i="24"/>
  <c r="P64" i="24" s="1"/>
  <c r="P31" i="24"/>
  <c r="Z55" i="24"/>
  <c r="Z66" i="24" s="1"/>
  <c r="Z26" i="24"/>
  <c r="Z33" i="24" s="1"/>
  <c r="L75" i="24"/>
  <c r="H77" i="24"/>
  <c r="X77" i="24"/>
  <c r="R78" i="24"/>
  <c r="R75" i="24"/>
  <c r="J78" i="24"/>
  <c r="P78" i="24" s="1"/>
  <c r="X79" i="24"/>
  <c r="Z57" i="24"/>
  <c r="Z68" i="24" s="1"/>
  <c r="N81" i="24"/>
  <c r="J82" i="24"/>
  <c r="T78" i="24"/>
  <c r="H82" i="24"/>
  <c r="P80" i="24"/>
  <c r="P79" i="24"/>
  <c r="Z80" i="24"/>
  <c r="P104" i="24" l="1"/>
  <c r="P91" i="24"/>
  <c r="H90" i="24"/>
  <c r="H103" i="24"/>
  <c r="L101" i="24"/>
  <c r="L88" i="24"/>
  <c r="N90" i="24"/>
  <c r="N103" i="24"/>
  <c r="V104" i="24"/>
  <c r="V91" i="24"/>
  <c r="P105" i="24"/>
  <c r="P92" i="24"/>
  <c r="J91" i="24"/>
  <c r="J104" i="24"/>
  <c r="R91" i="24"/>
  <c r="R104" i="24"/>
  <c r="V90" i="24"/>
  <c r="V103" i="24"/>
  <c r="L91" i="24"/>
  <c r="L104" i="24"/>
  <c r="V88" i="24"/>
  <c r="V101" i="24"/>
  <c r="P93" i="24"/>
  <c r="P106" i="24"/>
  <c r="T91" i="24"/>
  <c r="T104" i="24"/>
  <c r="R101" i="24"/>
  <c r="R88" i="24"/>
  <c r="X103" i="24"/>
  <c r="X90" i="24"/>
  <c r="T101" i="24"/>
  <c r="T88" i="24"/>
  <c r="X104" i="24"/>
  <c r="X91" i="24"/>
  <c r="J103" i="24"/>
  <c r="J90" i="24"/>
  <c r="N101" i="24"/>
  <c r="N88" i="24"/>
  <c r="J88" i="24"/>
  <c r="J101" i="24"/>
  <c r="X92" i="24"/>
  <c r="X105" i="24"/>
  <c r="R103" i="24"/>
  <c r="R90" i="24"/>
  <c r="H88" i="24"/>
  <c r="H101" i="24"/>
  <c r="N91" i="24"/>
  <c r="N104" i="24"/>
  <c r="T90" i="24"/>
  <c r="T103" i="24"/>
  <c r="X88" i="24"/>
  <c r="X101" i="24"/>
  <c r="H104" i="24"/>
  <c r="H91" i="24"/>
  <c r="L103" i="24"/>
  <c r="L90" i="24"/>
  <c r="Z93" i="24"/>
  <c r="Z106" i="24"/>
  <c r="H108" i="24"/>
  <c r="H95" i="24"/>
  <c r="J95" i="24"/>
  <c r="J108" i="24"/>
  <c r="N94" i="24"/>
  <c r="N107" i="24"/>
  <c r="H94" i="24"/>
  <c r="H107" i="24"/>
  <c r="R95" i="24"/>
  <c r="R108" i="24"/>
  <c r="Z94" i="24"/>
  <c r="Z107" i="24"/>
  <c r="V65" i="24"/>
  <c r="J76" i="24"/>
  <c r="Z65" i="24"/>
  <c r="R76" i="24"/>
  <c r="P65" i="24"/>
  <c r="N76" i="24"/>
  <c r="Z75" i="24"/>
  <c r="P81" i="24"/>
  <c r="P75" i="24"/>
  <c r="Z79" i="24"/>
  <c r="P82" i="24"/>
  <c r="Z77" i="24"/>
  <c r="Z78" i="24"/>
  <c r="P77" i="24"/>
  <c r="Z82" i="24"/>
  <c r="P88" i="24" l="1"/>
  <c r="P101" i="24"/>
  <c r="Z101" i="24"/>
  <c r="Z88" i="24"/>
  <c r="Z91" i="24"/>
  <c r="Z104" i="24"/>
  <c r="Z103" i="24"/>
  <c r="Z90" i="24"/>
  <c r="P90" i="24"/>
  <c r="P103" i="24"/>
  <c r="V76" i="24"/>
  <c r="V89" i="24" s="1"/>
  <c r="Z95" i="24"/>
  <c r="Z108" i="24"/>
  <c r="P108" i="24"/>
  <c r="P95" i="24"/>
  <c r="Z105" i="24"/>
  <c r="Z92" i="24"/>
  <c r="P94" i="24"/>
  <c r="P107" i="24"/>
  <c r="N89" i="24"/>
  <c r="N102" i="24"/>
  <c r="H76" i="24"/>
  <c r="H65" i="24"/>
  <c r="R89" i="24"/>
  <c r="R102" i="24"/>
  <c r="J89" i="24"/>
  <c r="J102" i="24"/>
  <c r="T76" i="24"/>
  <c r="T65" i="24"/>
  <c r="L76" i="24"/>
  <c r="L65" i="24"/>
  <c r="X76" i="24"/>
  <c r="X65" i="24"/>
  <c r="V102" i="24" l="1"/>
  <c r="P76" i="24"/>
  <c r="P89" i="24" s="1"/>
  <c r="Z76" i="24"/>
  <c r="Z89" i="24" s="1"/>
  <c r="X102" i="24"/>
  <c r="X89" i="24"/>
  <c r="L102" i="24"/>
  <c r="L89" i="24"/>
  <c r="T89" i="24"/>
  <c r="T102" i="24"/>
  <c r="H89" i="24"/>
  <c r="H102" i="24"/>
  <c r="Z102" i="24" l="1"/>
  <c r="P102" i="24"/>
</calcChain>
</file>

<file path=xl/sharedStrings.xml><?xml version="1.0" encoding="utf-8"?>
<sst xmlns="http://schemas.openxmlformats.org/spreadsheetml/2006/main" count="568" uniqueCount="224">
  <si>
    <t>Quarter Ended</t>
  </si>
  <si>
    <t>Yr Ended</t>
  </si>
  <si>
    <t>FY'15</t>
  </si>
  <si>
    <t>FY'14</t>
  </si>
  <si>
    <t>FY'13</t>
  </si>
  <si>
    <t>FY'12</t>
  </si>
  <si>
    <t>FY'11</t>
  </si>
  <si>
    <t>(in millions)</t>
  </si>
  <si>
    <t>Total revenue</t>
  </si>
  <si>
    <t>Other</t>
  </si>
  <si>
    <t>Trended PTC Consolidated Balance Sheets</t>
  </si>
  <si>
    <t>ASSETS</t>
  </si>
  <si>
    <t>Current assets:</t>
  </si>
  <si>
    <t>Cash and cash equivalents</t>
  </si>
  <si>
    <t>Accounts receivable, net</t>
  </si>
  <si>
    <t xml:space="preserve">Prepaid expenses and other current assets </t>
  </si>
  <si>
    <t>Deferred tax assets</t>
  </si>
  <si>
    <t>Total current assets</t>
  </si>
  <si>
    <t>Property and equipment, net</t>
  </si>
  <si>
    <t>Goodwill</t>
  </si>
  <si>
    <t>Acquired intangible assets, net</t>
  </si>
  <si>
    <t>Other assets</t>
  </si>
  <si>
    <t>Total assets</t>
  </si>
  <si>
    <t>LIABILITIES AND SHAREHOLDERS’ EQUITY</t>
  </si>
  <si>
    <t xml:space="preserve"> </t>
  </si>
  <si>
    <t>Current liabilities:</t>
  </si>
  <si>
    <t>Accounts payable, accrued expenses and other current liabilities</t>
  </si>
  <si>
    <t>Accrued compensation and benefits</t>
  </si>
  <si>
    <t>Accrued income taxes</t>
  </si>
  <si>
    <t>Deferred tax liabilities</t>
  </si>
  <si>
    <t>Current portion of long term debt</t>
  </si>
  <si>
    <t>Deferred revenue</t>
  </si>
  <si>
    <t xml:space="preserve">Total current liabilities </t>
  </si>
  <si>
    <t>Long term debt, net of current portion</t>
  </si>
  <si>
    <t>Other liabilities</t>
  </si>
  <si>
    <t>Total liabilities</t>
  </si>
  <si>
    <t>Shareholders’ equity:</t>
  </si>
  <si>
    <t>Common stock</t>
  </si>
  <si>
    <t xml:space="preserve">Additional paid-in capital </t>
  </si>
  <si>
    <t xml:space="preserve">Accumulated deficit </t>
  </si>
  <si>
    <t>Accumulated other comprehensive income (loss)</t>
  </si>
  <si>
    <t xml:space="preserve">Total shareholders’ equity </t>
  </si>
  <si>
    <t xml:space="preserve">Total liabilities and shareholders’ equity </t>
  </si>
  <si>
    <t>Days Sales Outstanding</t>
  </si>
  <si>
    <t>Trended PTC Consolidated Statements of Operations - GAAP</t>
  </si>
  <si>
    <t xml:space="preserve"> Quarter Ended</t>
  </si>
  <si>
    <t>(in millions, except per share amounts)</t>
  </si>
  <si>
    <t>Revenue:</t>
  </si>
  <si>
    <t>Support</t>
  </si>
  <si>
    <t>Professional services</t>
  </si>
  <si>
    <t>Cost of revenue:</t>
  </si>
  <si>
    <t>Cost of professional services</t>
  </si>
  <si>
    <t>Total cost of revenue</t>
  </si>
  <si>
    <t>Gross profit</t>
  </si>
  <si>
    <t>Operating expenses:</t>
  </si>
  <si>
    <t>Sales and marketing</t>
  </si>
  <si>
    <t>Research and development</t>
  </si>
  <si>
    <t xml:space="preserve">General and administrative </t>
  </si>
  <si>
    <t>Amortization of acquired intangible assets</t>
  </si>
  <si>
    <t>Restructuring and other charges (credits)</t>
  </si>
  <si>
    <t xml:space="preserve">Total operating expenses </t>
  </si>
  <si>
    <t>Operating income (loss)</t>
  </si>
  <si>
    <t>Interest and other income (expense), net</t>
  </si>
  <si>
    <t>Income (loss) before income taxes</t>
  </si>
  <si>
    <t>Provision (benefit) for income taxes</t>
  </si>
  <si>
    <t xml:space="preserve">Net income (loss) </t>
  </si>
  <si>
    <t>Basic net income (loss) per share</t>
  </si>
  <si>
    <t>Diluted net income (loss) per share</t>
  </si>
  <si>
    <t xml:space="preserve">Weighted average shares outstanding -- Basic </t>
  </si>
  <si>
    <t>Weighted average shares outstanding -- Diluted</t>
  </si>
  <si>
    <t>Gross margin</t>
  </si>
  <si>
    <t>Gross margin on total software</t>
  </si>
  <si>
    <t>Gross margin on professional services</t>
  </si>
  <si>
    <t>Operating margin</t>
  </si>
  <si>
    <t>S&amp;M % of total revenue</t>
  </si>
  <si>
    <t>R&amp;D % of total revenue</t>
  </si>
  <si>
    <t>G&amp;A % of total revenue</t>
  </si>
  <si>
    <t>Tax rate</t>
  </si>
  <si>
    <t>Trended PTC Consolidated Statements of Operations - Non-GAAP</t>
  </si>
  <si>
    <t>Gross margin:</t>
  </si>
  <si>
    <t>Operating margin:</t>
  </si>
  <si>
    <t>Trended PTC Consolidated Statements of Operations - Reconciliation between GAAP and Non-GAAP</t>
  </si>
  <si>
    <t>(in millions, except per share amounts and %)</t>
  </si>
  <si>
    <t>GAAP revenue</t>
  </si>
  <si>
    <t>Fair value adjustment of acquired deferred support revenue</t>
  </si>
  <si>
    <t>Non-GAAP revenue</t>
  </si>
  <si>
    <t>GAAP cost of revenue</t>
  </si>
  <si>
    <t>Professional services stock-based compensation expense</t>
  </si>
  <si>
    <t>Fair value adjustment to deferred services cost</t>
  </si>
  <si>
    <t>Professional services amortization of acquired intangible assets</t>
  </si>
  <si>
    <t>Non-GAAP cost of revenue</t>
  </si>
  <si>
    <t>GAAP gross profit</t>
  </si>
  <si>
    <t>Fair value adjustment of acquired deferred revenue</t>
  </si>
  <si>
    <t>Stock-based compensation expense</t>
  </si>
  <si>
    <t>Non-GAAP gross profit</t>
  </si>
  <si>
    <t>GAAP gross margin</t>
  </si>
  <si>
    <t>Non-GAAP gross margin</t>
  </si>
  <si>
    <t>GAAP sales and marketing expense</t>
  </si>
  <si>
    <t>Non-GAAP sales and marketing expense</t>
  </si>
  <si>
    <t>GAAP research and development expense</t>
  </si>
  <si>
    <t>Non-GAAP research and development expense</t>
  </si>
  <si>
    <t>GAAP general and administrative expense</t>
  </si>
  <si>
    <t>Acquisition-related costs</t>
  </si>
  <si>
    <t>US pension plan termination-related costs</t>
  </si>
  <si>
    <t>Pending legal settlement accrual</t>
  </si>
  <si>
    <t>Non-GAAP general and administrative expense</t>
  </si>
  <si>
    <t>GAAP operating income (loss)</t>
  </si>
  <si>
    <t>Non-GAAP operating income (loss)</t>
  </si>
  <si>
    <t>GAAP operating margin</t>
  </si>
  <si>
    <t>Non-GAAP operating margin</t>
  </si>
  <si>
    <t>GAAP net income (loss)</t>
  </si>
  <si>
    <t>Amortization of purchased intangible assets</t>
  </si>
  <si>
    <t>Non-operating gains (losses)</t>
  </si>
  <si>
    <t>Income tax adjustments</t>
  </si>
  <si>
    <t>Non-GAAP net income (loss)</t>
  </si>
  <si>
    <t>GAAP basic net income (loss) per share</t>
  </si>
  <si>
    <t>Non-GAAP basic net income (loss) per share</t>
  </si>
  <si>
    <t>GAAP diluted net income (loss) per share</t>
  </si>
  <si>
    <t>Non-GAAP diluted net income (loss) per share</t>
  </si>
  <si>
    <t>Trended PTC Consolidated Statements of Cash Flows</t>
  </si>
  <si>
    <t>Cash flows from operating activities:</t>
  </si>
  <si>
    <t>Stock-based compensation</t>
  </si>
  <si>
    <t xml:space="preserve">Depreciation and amortization </t>
  </si>
  <si>
    <t>Accounts receivable</t>
  </si>
  <si>
    <t>Accounts payable and accruals</t>
  </si>
  <si>
    <t>Pension settlement loss</t>
  </si>
  <si>
    <t>Income taxes</t>
  </si>
  <si>
    <t>Excess tax benefits from stock-based awards</t>
  </si>
  <si>
    <t xml:space="preserve">Net cash provided by (used in) operating activities </t>
  </si>
  <si>
    <t>Cash flows from investing activities:</t>
  </si>
  <si>
    <t xml:space="preserve">Capital expenditures </t>
  </si>
  <si>
    <t>Cost of acquisitions, net</t>
  </si>
  <si>
    <t>Other investing activities</t>
  </si>
  <si>
    <t xml:space="preserve">Net cash used in investing activities </t>
  </si>
  <si>
    <t>Cash flows from financing activities:</t>
  </si>
  <si>
    <t>Proceeds (payments) on debt, net</t>
  </si>
  <si>
    <t>Proceeds from issuance of common stock</t>
  </si>
  <si>
    <t>Payments of withholding taxes in connection with vesting stock-based awards</t>
  </si>
  <si>
    <t>Repurchases of common stock</t>
  </si>
  <si>
    <t>Other financing activities</t>
  </si>
  <si>
    <t xml:space="preserve">Net cash provided by (used in) financing activities </t>
  </si>
  <si>
    <t>Effect of exchange rate change on cash</t>
  </si>
  <si>
    <t xml:space="preserve">Net increase (decrease) in cash and cash equivalents </t>
  </si>
  <si>
    <t>Cash and cash equivalents at beginning of period</t>
  </si>
  <si>
    <t>Cash and cash equivalents at end of period</t>
  </si>
  <si>
    <t>Free cash flow (1)</t>
  </si>
  <si>
    <t>Free cash flow return % (1)</t>
  </si>
  <si>
    <t>(1) PTC has announced a long-term goal of returning approximately 40% of free cash flow to shareholders via stock repurchases.  This information provides the substantive information investors can use to evaluate the Company's performance relative to that goal.</t>
  </si>
  <si>
    <t>Total software</t>
  </si>
  <si>
    <t>FY'16</t>
  </si>
  <si>
    <t>QE</t>
  </si>
  <si>
    <t>Subscription</t>
  </si>
  <si>
    <t>Perpetual license</t>
  </si>
  <si>
    <t>Total recurring software</t>
  </si>
  <si>
    <t>Cost of software</t>
  </si>
  <si>
    <t>Gross margin on software</t>
  </si>
  <si>
    <t>Software stock-based compensation expense</t>
  </si>
  <si>
    <t>Fair value adjustment of acquired deferred perpetual license revenue</t>
  </si>
  <si>
    <t>Fair value adjustment of acquired deferred subscription revenue</t>
  </si>
  <si>
    <t>Fair value adjustment of acquired deferred services revenue</t>
  </si>
  <si>
    <t>Software amortization of acquired intangible assets</t>
  </si>
  <si>
    <t>Trended PTC Line of Business Performance</t>
  </si>
  <si>
    <t>GAAP revenue change year over year</t>
  </si>
  <si>
    <t>Non-GAAP revenue change year over year</t>
  </si>
  <si>
    <t>GAAP revenue change year over year in constant currency:</t>
  </si>
  <si>
    <t>Non-GAAP revenue change year over year in constant currency:</t>
  </si>
  <si>
    <t>Trended PTC Revenue by Region</t>
  </si>
  <si>
    <t>Revenue by region (GAAP):</t>
  </si>
  <si>
    <t>Americas</t>
  </si>
  <si>
    <t>Europe</t>
  </si>
  <si>
    <t>Japan</t>
  </si>
  <si>
    <t>Pacific Rim</t>
  </si>
  <si>
    <t>Revenue % of total (GAAP):</t>
  </si>
  <si>
    <t>Revenue change year over year (GAAP):</t>
  </si>
  <si>
    <t>Revenue change year over year in constant currency (GAAP):</t>
  </si>
  <si>
    <t>Revenue by region (Non-GAAP):</t>
  </si>
  <si>
    <t>Revenue % of total (Non-GAAP):</t>
  </si>
  <si>
    <t>Revenue change year over year (Non-GAAP):</t>
  </si>
  <si>
    <t>Revenue change year over year in constant currency (Non-GAAP):</t>
  </si>
  <si>
    <t>Revenue (GAAP / Non-GAAP Adjustments):</t>
  </si>
  <si>
    <t>Trended PTC Revenue by Solution Area</t>
  </si>
  <si>
    <t>Revenue by solution area (GAAP):</t>
  </si>
  <si>
    <t>Solutions Group</t>
  </si>
  <si>
    <t>Technology Platform Group</t>
  </si>
  <si>
    <t>-</t>
  </si>
  <si>
    <t>Revenue by solution area (Non-GAAP):</t>
  </si>
  <si>
    <t>N/A</t>
  </si>
  <si>
    <t>Total revenue (GAAP / Non-GAAP Adjustments):</t>
  </si>
  <si>
    <t>Trended PTC License and Subscription Solutions Bookings Growth by Region and Solution Area</t>
  </si>
  <si>
    <t>Bookings (1)</t>
  </si>
  <si>
    <t>License and subscription bookings</t>
  </si>
  <si>
    <t>Subscription ACV</t>
  </si>
  <si>
    <t>Subscription solutions % of bookings (2)</t>
  </si>
  <si>
    <t>Bookings change year over year:</t>
  </si>
  <si>
    <t>Total bookings</t>
  </si>
  <si>
    <t>Bookings change year over year in constant currency: (3)</t>
  </si>
  <si>
    <t>(1) License and subscription bookings consist of new license bookings plus new subscription solutions annualized contract value (ACV) bookings multiplied by 2 (an annualized contract value booking is the actual value of the booking over the life of the subscription period divided by the number of days in the subscription period multiplied by 365; for subscription contracts for less than a year, the ACV is equal to the contract value).  For the periods prior to FY'14 subscription solutions ACV is immaterial and considered to be zero.</t>
  </si>
  <si>
    <t>(2) Subscription bookings mix was immaterial in periods prior to FY'14.</t>
  </si>
  <si>
    <t>(3) Constant currency measures are calculated by multiplying the actual results for the later period  by the exchange rates in effect for the comparable period in the prior year.</t>
  </si>
  <si>
    <t>Trended PTC Supplementary Data</t>
  </si>
  <si>
    <t>Sales capacity and productivity ($ in millions):</t>
  </si>
  <si>
    <t>Quota-carrying sales reps</t>
  </si>
  <si>
    <t>Sales efficiency (1)</t>
  </si>
  <si>
    <t>Revenue % by distribution type:</t>
  </si>
  <si>
    <t>Direct</t>
  </si>
  <si>
    <t>Channel</t>
  </si>
  <si>
    <t>Total Revenue</t>
  </si>
  <si>
    <t>Revenue % by industry</t>
  </si>
  <si>
    <t>Automotive</t>
  </si>
  <si>
    <t>Electronics &amp; High Tech</t>
  </si>
  <si>
    <t>Federal, Aerospace &amp; Defense</t>
  </si>
  <si>
    <t>Industrial Products</t>
  </si>
  <si>
    <t>Life Sciences</t>
  </si>
  <si>
    <t>Retail &amp; Consumer</t>
  </si>
  <si>
    <t xml:space="preserve">PTC also provides results on a constant currency basis to provide a year-over-year view of our results excluding the effect of currency translation. Our constant currency disclosures are calculated by multiplying the actual results for the current period by the exchange rates in effect for the comparable prior period. </t>
  </si>
  <si>
    <t>PTC also provides information on “free cash flow” and “free cash flow return” to enable investors to assess our ability to generate cash without incurring additional external financings and to evaluate our performance against our announced long-term goal of returning approximately 40% of our free cash flow to shareholders via stock repurchases. Free-cash flow is net cash provided by (used in) operating activities less capital expenditures and excludes the impact of restructuring charges we may incur and other significant unpredicted discrete items, and free-cash flow return is the value of shares repurchased divided by free cash flow.</t>
  </si>
  <si>
    <t>Important Information About Non-GAAP References</t>
  </si>
  <si>
    <t xml:space="preserve">This Financial Data spreadsheet includes supplemental non-GAAP financial measures in addition to GAAP financial results. Non-GAAP revenue, non-GAAP operating expenses, non-GAAP operating margin, non-GAAP gross profit, non-GAAP gross margin, non-GAAP net income and non-GAAP EPS exclude the effect of purchase accounting on the fair value of acquired deferred revenue, stock-based compensation expense, amortization of acquired intangible assets, restructuring charges, acquisition-related expenses, costs associated with terminating a U.S. pension plan, a litigation accrual associated with our previously disclosed China investigation, certain identified non-operating gains and losses, the related tax effects of the preceding items, credit facility refinancing expenses and certain discrete tax items.  We use these non-GAAP measures, and we believe that they assist our investors, to make period-to-period comparisons of our operational performance because they provide a view of our operating results without items that are not, in our view, indicative of our core operating results. We believe that these non-GAAP measures help illustrate underlying trends in our business, and we use the measures to establish budgets and operational goals, communicated internally and externally, for managing our business and evaluating our performance.  We believe that providing non-GAAP measures affords investors a view of our operating results that may be more easily compared to the results of peer companies.  In addition, compensation of our executives is based in part on the performance of our business based on these non-GAAP measures.  However, non-GAAP information should not be construed as an alternative to GAAP information as the items excluded from the non-GAAP measures often have a material impact on PTC’s financial results.  Management uses, and investors should consider, non-GAAP measures in conjunction with our GAAP results.  </t>
  </si>
  <si>
    <t>(1) Sales efficiency = trailing 12-month license and subscription bookings divided by trailing 12-month sales and marketing expenditure</t>
  </si>
  <si>
    <t>Pro forma free cash flow</t>
  </si>
  <si>
    <t>Free cash flow</t>
  </si>
  <si>
    <t>Restructuring payments</t>
  </si>
  <si>
    <t>Legal settlement payments</t>
  </si>
  <si>
    <t>U.S. pension plan termination-related payments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</si>
</sst>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0\ [$€-1]_-;\-* #,##0.00\ [$€-1]_-;_-* \-??\ [$€-1]_-"/>
    <numFmt numFmtId="167" formatCode="#,##0%;\(#,##0%\)"/>
    <numFmt numFmtId="168" formatCode="[$-409]mmm\ d;@"/>
    <numFmt numFmtId="169" formatCode="_(&quot;$&quot;* #,##0.0_);_(&quot;$&quot;* \(#,##0.0\);_(&quot;$&quot;* &quot;-&quot;??_);_(@_)"/>
    <numFmt numFmtId="170" formatCode="0.0%"/>
    <numFmt numFmtId="171" formatCode="_(&quot;$&quot;* #,##0.000_);_(&quot;$&quot;* \(#,##0.000\);_(&quot;$&quot;* &quot;-&quot;??_);_(@_)"/>
    <numFmt numFmtId="172" formatCode="_(* #,##0.000_);_(* \(#,##0.000\);_(* &quot;-&quot;??_);_(@_)"/>
    <numFmt numFmtId="173" formatCode="_(&quot;$&quot;* #,##0.000_);_(&quot;$&quot;* \(#,##0.000\);_(&quot;$&quot;* &quot;-&quot;_);_(@_)"/>
    <numFmt numFmtId="174" formatCode="_(* #,##0.0_);_(* \(#,##0.0\);_(* &quot;-&quot;?_);_(@_)"/>
    <numFmt numFmtId="175" formatCode="_(* #,##0_);_(* \(#,##0\);_(* &quot;-&quot;?_);_(@_)"/>
    <numFmt numFmtId="176" formatCode="#,##0.0%;\(#,##0.0%\)"/>
    <numFmt numFmtId="177" formatCode="_(* #,##0.00_);_(* \(#,##0.00\);_(* &quot;-&quot;?_);_(@_)"/>
  </numFmts>
  <fonts count="27" x14ac:knownFonts="1">
    <font>
      <sz val="10"/>
      <name val="Arial"/>
    </font>
    <font>
      <sz val="8"/>
      <color theme="1"/>
      <name val="Arial Narrow"/>
      <family val="2"/>
    </font>
    <font>
      <sz val="10"/>
      <name val="Arial"/>
      <family val="2"/>
    </font>
    <font>
      <sz val="12"/>
      <name val="Tms Rmn"/>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b/>
      <sz val="15.95"/>
      <color indexed="8"/>
      <name val="Times New Roman"/>
      <family val="1"/>
    </font>
    <font>
      <sz val="11"/>
      <color indexed="10"/>
      <name val="Calibri"/>
      <family val="2"/>
    </font>
    <font>
      <b/>
      <sz val="10"/>
      <name val="Arial"/>
      <family val="2"/>
    </font>
    <font>
      <b/>
      <u/>
      <sz val="10"/>
      <name val="Arial"/>
      <family val="2"/>
    </font>
    <font>
      <u val="singleAccounting"/>
      <sz val="10"/>
      <name val="Arial"/>
      <family val="2"/>
    </font>
    <font>
      <u val="doubleAccounting"/>
      <sz val="1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diagonal/>
    </border>
  </borders>
  <cellStyleXfs count="53">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xf numFmtId="166" fontId="2" fillId="0" borderId="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4" fillId="0" borderId="3" applyNumberFormat="0" applyAlignment="0" applyProtection="0">
      <alignment horizontal="left" vertical="center"/>
    </xf>
    <xf numFmtId="0" fontId="4" fillId="0" borderId="4">
      <alignment horizontal="left" vertical="center"/>
    </xf>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8" applyNumberFormat="0" applyFill="0" applyAlignment="0" applyProtection="0"/>
    <xf numFmtId="0" fontId="17" fillId="22" borderId="0" applyNumberFormat="0" applyBorder="0" applyAlignment="0" applyProtection="0"/>
    <xf numFmtId="0" fontId="5" fillId="23" borderId="9" applyNumberFormat="0" applyFont="0" applyAlignment="0" applyProtection="0"/>
    <xf numFmtId="0" fontId="18" fillId="20" borderId="10" applyNumberFormat="0" applyAlignment="0" applyProtection="0"/>
    <xf numFmtId="9" fontId="2" fillId="0" borderId="0" applyFont="0" applyFill="0" applyBorder="0" applyAlignment="0" applyProtection="0"/>
    <xf numFmtId="0" fontId="19" fillId="0" borderId="0" applyNumberFormat="0" applyFill="0" applyBorder="0" applyAlignment="0" applyProtection="0"/>
    <xf numFmtId="0" fontId="20" fillId="0" borderId="11" applyNumberFormat="0" applyFill="0" applyAlignment="0" applyProtection="0"/>
    <xf numFmtId="43" fontId="21" fillId="0" borderId="0" applyFont="0" applyFill="0" applyBorder="0" applyAlignment="0" applyProtection="0"/>
    <xf numFmtId="44" fontId="2" fillId="0" borderId="0" applyFont="0" applyFill="0" applyBorder="0" applyAlignment="0" applyProtection="0"/>
    <xf numFmtId="0" fontId="22" fillId="0" borderId="0" applyNumberFormat="0" applyFill="0" applyBorder="0" applyAlignment="0" applyProtection="0"/>
    <xf numFmtId="0" fontId="1" fillId="0" borderId="0"/>
    <xf numFmtId="0" fontId="2" fillId="0" borderId="0"/>
  </cellStyleXfs>
  <cellXfs count="271">
    <xf numFmtId="0" fontId="0" fillId="0" borderId="0" xfId="0"/>
    <xf numFmtId="0" fontId="2" fillId="0" borderId="0" xfId="0" applyFont="1" applyFill="1"/>
    <xf numFmtId="0" fontId="23" fillId="0" borderId="0" xfId="0" applyFont="1" applyFill="1" applyAlignment="1">
      <alignment horizontal="center"/>
    </xf>
    <xf numFmtId="0" fontId="2" fillId="0" borderId="0" xfId="0" applyFont="1" applyFill="1" applyAlignment="1"/>
    <xf numFmtId="0" fontId="24" fillId="0" borderId="0" xfId="0" applyFont="1" applyFill="1" applyAlignment="1">
      <alignment horizontal="center"/>
    </xf>
    <xf numFmtId="0" fontId="23" fillId="0" borderId="0" xfId="0" applyFont="1" applyFill="1" applyAlignment="1">
      <alignment horizontal="left"/>
    </xf>
    <xf numFmtId="164" fontId="2" fillId="0" borderId="0" xfId="29" applyNumberFormat="1" applyFont="1" applyFill="1" applyAlignment="1"/>
    <xf numFmtId="0" fontId="2" fillId="0" borderId="0" xfId="0" applyFont="1" applyFill="1" applyAlignment="1">
      <alignment horizontal="left"/>
    </xf>
    <xf numFmtId="0" fontId="2" fillId="0" borderId="0" xfId="0" applyFont="1" applyFill="1" applyBorder="1" applyAlignment="1"/>
    <xf numFmtId="0" fontId="23" fillId="0" borderId="0" xfId="0" applyFont="1" applyFill="1" applyBorder="1" applyAlignment="1">
      <alignment horizontal="center"/>
    </xf>
    <xf numFmtId="0" fontId="23" fillId="24" borderId="13" xfId="0" applyFont="1" applyFill="1" applyBorder="1" applyAlignment="1">
      <alignment horizontal="center"/>
    </xf>
    <xf numFmtId="16" fontId="23" fillId="0" borderId="14" xfId="0" quotePrefix="1" applyNumberFormat="1" applyFont="1" applyFill="1" applyBorder="1" applyAlignment="1">
      <alignment horizontal="center"/>
    </xf>
    <xf numFmtId="16" fontId="23" fillId="24" borderId="15" xfId="0" quotePrefix="1" applyNumberFormat="1" applyFont="1" applyFill="1" applyBorder="1" applyAlignment="1">
      <alignment horizontal="center"/>
    </xf>
    <xf numFmtId="16" fontId="23" fillId="0" borderId="0" xfId="0" quotePrefix="1" applyNumberFormat="1" applyFont="1" applyFill="1" applyBorder="1" applyAlignment="1">
      <alignment horizontal="center"/>
    </xf>
    <xf numFmtId="164" fontId="23" fillId="0" borderId="0" xfId="0" applyNumberFormat="1" applyFont="1" applyFill="1" applyAlignment="1">
      <alignment horizontal="left"/>
    </xf>
    <xf numFmtId="0" fontId="2" fillId="0" borderId="0" xfId="0" applyFont="1" applyFill="1" applyAlignment="1">
      <alignment horizontal="left" indent="1"/>
    </xf>
    <xf numFmtId="0" fontId="2" fillId="0" borderId="0" xfId="0" applyFont="1" applyFill="1" applyBorder="1" applyAlignment="1">
      <alignment horizontal="left" indent="1"/>
    </xf>
    <xf numFmtId="0" fontId="24" fillId="0" borderId="0" xfId="0" applyFont="1" applyFill="1" applyAlignment="1">
      <alignment horizontal="left"/>
    </xf>
    <xf numFmtId="0" fontId="2" fillId="0" borderId="0" xfId="0" applyFont="1" applyFill="1" applyAlignment="1">
      <alignment horizontal="left" indent="2"/>
    </xf>
    <xf numFmtId="165" fontId="2" fillId="0" borderId="0" xfId="29" applyNumberFormat="1" applyFont="1" applyFill="1" applyBorder="1" applyAlignment="1"/>
    <xf numFmtId="165" fontId="2" fillId="24" borderId="12" xfId="29" applyNumberFormat="1" applyFont="1" applyFill="1" applyBorder="1" applyAlignment="1"/>
    <xf numFmtId="165" fontId="2" fillId="0" borderId="0" xfId="29" applyNumberFormat="1" applyFont="1" applyFill="1" applyAlignment="1"/>
    <xf numFmtId="164" fontId="2" fillId="0" borderId="0" xfId="29" applyNumberFormat="1" applyFont="1" applyFill="1" applyBorder="1" applyAlignment="1"/>
    <xf numFmtId="164" fontId="2" fillId="24" borderId="12" xfId="29" applyNumberFormat="1" applyFont="1" applyFill="1" applyBorder="1" applyAlignment="1"/>
    <xf numFmtId="0" fontId="23" fillId="0" borderId="0" xfId="0" applyFont="1" applyFill="1" applyAlignment="1">
      <alignment wrapText="1"/>
    </xf>
    <xf numFmtId="0" fontId="23" fillId="0" borderId="0" xfId="0" applyFont="1" applyFill="1" applyBorder="1" applyAlignment="1">
      <alignment wrapText="1"/>
    </xf>
    <xf numFmtId="9" fontId="2" fillId="0" borderId="0" xfId="45" applyFont="1" applyFill="1" applyBorder="1"/>
    <xf numFmtId="0" fontId="23" fillId="24" borderId="21" xfId="0" applyFont="1" applyFill="1" applyBorder="1" applyAlignment="1">
      <alignment horizontal="center"/>
    </xf>
    <xf numFmtId="0" fontId="23" fillId="0" borderId="0" xfId="0" applyFont="1" applyFill="1"/>
    <xf numFmtId="168" fontId="23" fillId="0" borderId="14" xfId="0" quotePrefix="1" applyNumberFormat="1" applyFont="1" applyFill="1" applyBorder="1" applyAlignment="1">
      <alignment horizontal="center" wrapText="1"/>
    </xf>
    <xf numFmtId="15" fontId="23" fillId="0" borderId="0" xfId="0" quotePrefix="1" applyNumberFormat="1" applyFont="1" applyFill="1" applyBorder="1" applyAlignment="1">
      <alignment horizontal="center" wrapText="1"/>
    </xf>
    <xf numFmtId="0" fontId="23" fillId="0" borderId="0" xfId="0" applyFont="1" applyFill="1" applyAlignment="1"/>
    <xf numFmtId="15" fontId="23" fillId="0" borderId="0" xfId="0" applyNumberFormat="1" applyFont="1" applyFill="1" applyBorder="1" applyAlignment="1"/>
    <xf numFmtId="164" fontId="23" fillId="0" borderId="0" xfId="29" applyNumberFormat="1" applyFont="1" applyFill="1" applyAlignment="1"/>
    <xf numFmtId="164" fontId="2" fillId="0" borderId="0" xfId="0" applyNumberFormat="1" applyFont="1" applyFill="1" applyAlignment="1"/>
    <xf numFmtId="165" fontId="2" fillId="0" borderId="0" xfId="0" applyNumberFormat="1" applyFont="1" applyFill="1" applyAlignment="1"/>
    <xf numFmtId="169" fontId="2" fillId="0" borderId="0" xfId="0" applyNumberFormat="1" applyFont="1" applyFill="1" applyAlignment="1"/>
    <xf numFmtId="41" fontId="2" fillId="0" borderId="0" xfId="0" applyNumberFormat="1" applyFont="1" applyFill="1" applyAlignment="1"/>
    <xf numFmtId="165" fontId="2" fillId="0" borderId="0" xfId="28" applyNumberFormat="1" applyFont="1" applyFill="1" applyAlignment="1"/>
    <xf numFmtId="0" fontId="2" fillId="0" borderId="0" xfId="0" applyFont="1" applyFill="1" applyAlignment="1">
      <alignment vertical="top"/>
    </xf>
    <xf numFmtId="165" fontId="2" fillId="0" borderId="14" xfId="29" applyNumberFormat="1" applyFont="1" applyFill="1" applyBorder="1" applyAlignment="1"/>
    <xf numFmtId="165" fontId="2" fillId="0" borderId="14" xfId="28" applyNumberFormat="1" applyFont="1" applyFill="1" applyBorder="1" applyAlignment="1"/>
    <xf numFmtId="0" fontId="2" fillId="0" borderId="0" xfId="0" applyFont="1" applyFill="1" applyAlignment="1">
      <alignment horizontal="left" vertical="center"/>
    </xf>
    <xf numFmtId="164" fontId="2" fillId="0" borderId="24" xfId="29" applyNumberFormat="1" applyFont="1" applyFill="1" applyBorder="1" applyAlignment="1"/>
    <xf numFmtId="165" fontId="25" fillId="0" borderId="0" xfId="29" applyNumberFormat="1" applyFont="1" applyFill="1" applyAlignment="1">
      <alignment horizontal="right" vertical="center"/>
    </xf>
    <xf numFmtId="165" fontId="2" fillId="0" borderId="0" xfId="28" applyNumberFormat="1" applyFont="1" applyFill="1" applyBorder="1" applyAlignment="1"/>
    <xf numFmtId="165" fontId="2" fillId="0" borderId="19" xfId="29" applyNumberFormat="1" applyFont="1" applyFill="1" applyBorder="1" applyAlignment="1"/>
    <xf numFmtId="0" fontId="2" fillId="0" borderId="0" xfId="0" applyFont="1" applyFill="1" applyAlignment="1">
      <alignment vertical="center"/>
    </xf>
    <xf numFmtId="16" fontId="23" fillId="0" borderId="0" xfId="0" quotePrefix="1" applyNumberFormat="1" applyFont="1" applyFill="1" applyBorder="1" applyAlignment="1"/>
    <xf numFmtId="0" fontId="23" fillId="0" borderId="0" xfId="0" quotePrefix="1" applyFont="1" applyFill="1" applyBorder="1" applyAlignment="1"/>
    <xf numFmtId="0" fontId="23" fillId="24" borderId="12" xfId="0" applyFont="1" applyFill="1" applyBorder="1" applyAlignment="1"/>
    <xf numFmtId="0" fontId="23" fillId="24" borderId="12" xfId="0" quotePrefix="1" applyFont="1" applyFill="1" applyBorder="1" applyAlignment="1"/>
    <xf numFmtId="164" fontId="23" fillId="0" borderId="0" xfId="0" applyNumberFormat="1" applyFont="1" applyFill="1" applyAlignment="1"/>
    <xf numFmtId="165" fontId="2" fillId="24" borderId="15" xfId="29" applyNumberFormat="1" applyFont="1" applyFill="1" applyBorder="1" applyAlignment="1"/>
    <xf numFmtId="0" fontId="2" fillId="0" borderId="0" xfId="0" applyFont="1" applyFill="1" applyBorder="1" applyAlignment="1">
      <alignment horizontal="left"/>
    </xf>
    <xf numFmtId="169" fontId="2" fillId="0" borderId="0" xfId="29" applyNumberFormat="1" applyFont="1" applyFill="1" applyAlignment="1"/>
    <xf numFmtId="169" fontId="2" fillId="0" borderId="0" xfId="0" applyNumberFormat="1" applyFont="1" applyFill="1" applyBorder="1" applyAlignment="1"/>
    <xf numFmtId="165" fontId="2" fillId="0" borderId="0" xfId="45" applyNumberFormat="1" applyFont="1" applyFill="1" applyBorder="1" applyAlignment="1"/>
    <xf numFmtId="165" fontId="2" fillId="0" borderId="4" xfId="29" applyNumberFormat="1" applyFont="1" applyFill="1" applyBorder="1" applyAlignment="1"/>
    <xf numFmtId="165" fontId="2" fillId="24" borderId="25" xfId="29" applyNumberFormat="1" applyFont="1" applyFill="1" applyBorder="1" applyAlignment="1"/>
    <xf numFmtId="164" fontId="2" fillId="24" borderId="23" xfId="29" applyNumberFormat="1" applyFont="1" applyFill="1" applyBorder="1" applyAlignment="1"/>
    <xf numFmtId="164" fontId="26" fillId="0" borderId="0" xfId="29" applyNumberFormat="1" applyFont="1" applyFill="1" applyAlignment="1"/>
    <xf numFmtId="164" fontId="26" fillId="24" borderId="12" xfId="29" applyNumberFormat="1" applyFont="1" applyFill="1" applyBorder="1" applyAlignment="1"/>
    <xf numFmtId="44" fontId="2" fillId="0" borderId="0" xfId="29" applyNumberFormat="1" applyFont="1" applyFill="1" applyBorder="1" applyAlignment="1"/>
    <xf numFmtId="44" fontId="2" fillId="0" borderId="0" xfId="29" applyFont="1" applyFill="1" applyBorder="1" applyAlignment="1"/>
    <xf numFmtId="44" fontId="2" fillId="24" borderId="12" xfId="29" applyFont="1" applyFill="1" applyBorder="1" applyAlignment="1"/>
    <xf numFmtId="0" fontId="2" fillId="0" borderId="0" xfId="0" applyFont="1" applyFill="1" applyBorder="1" applyAlignment="1">
      <alignment horizontal="left" vertical="top"/>
    </xf>
    <xf numFmtId="0" fontId="2" fillId="24" borderId="12" xfId="0" applyFont="1" applyFill="1" applyBorder="1" applyAlignment="1"/>
    <xf numFmtId="0" fontId="2" fillId="0" borderId="0" xfId="0" quotePrefix="1" applyFont="1" applyFill="1" applyAlignment="1">
      <alignment horizontal="left"/>
    </xf>
    <xf numFmtId="170" fontId="2" fillId="0" borderId="0" xfId="0" applyNumberFormat="1" applyFont="1" applyFill="1" applyAlignment="1"/>
    <xf numFmtId="170" fontId="2" fillId="24" borderId="12" xfId="0" applyNumberFormat="1" applyFont="1" applyFill="1" applyBorder="1" applyAlignment="1"/>
    <xf numFmtId="0" fontId="2" fillId="0" borderId="0" xfId="0" applyFont="1" applyFill="1" applyAlignment="1">
      <alignment horizontal="right"/>
    </xf>
    <xf numFmtId="0" fontId="2" fillId="0" borderId="0" xfId="0" quotePrefix="1" applyFont="1" applyFill="1" applyAlignment="1">
      <alignment horizontal="left" indent="1"/>
    </xf>
    <xf numFmtId="170" fontId="2" fillId="0" borderId="0" xfId="0" applyNumberFormat="1" applyFont="1" applyFill="1" applyBorder="1" applyAlignment="1"/>
    <xf numFmtId="0" fontId="2" fillId="24" borderId="16" xfId="0" applyFont="1" applyFill="1" applyBorder="1" applyAlignment="1"/>
    <xf numFmtId="9" fontId="2" fillId="0" borderId="0" xfId="45" applyFont="1" applyFill="1" applyAlignment="1"/>
    <xf numFmtId="171" fontId="23" fillId="0" borderId="0" xfId="0" applyNumberFormat="1" applyFont="1" applyFill="1" applyAlignment="1"/>
    <xf numFmtId="171" fontId="2" fillId="0" borderId="0" xfId="29" applyNumberFormat="1" applyFont="1" applyFill="1" applyAlignment="1"/>
    <xf numFmtId="171" fontId="2" fillId="0" borderId="0" xfId="0" applyNumberFormat="1" applyFont="1" applyFill="1" applyAlignment="1"/>
    <xf numFmtId="171" fontId="2" fillId="0" borderId="0" xfId="0" applyNumberFormat="1" applyFont="1" applyFill="1" applyBorder="1" applyAlignment="1"/>
    <xf numFmtId="165" fontId="23" fillId="0" borderId="0" xfId="0" applyNumberFormat="1" applyFont="1" applyFill="1" applyAlignment="1"/>
    <xf numFmtId="0" fontId="24" fillId="0" borderId="0" xfId="52" applyFont="1" applyFill="1" applyAlignment="1">
      <alignment horizontal="left"/>
    </xf>
    <xf numFmtId="0" fontId="24" fillId="0" borderId="0" xfId="52" applyFont="1" applyFill="1" applyAlignment="1">
      <alignment horizontal="center"/>
    </xf>
    <xf numFmtId="0" fontId="2" fillId="0" borderId="0" xfId="52" applyFont="1" applyFill="1"/>
    <xf numFmtId="0" fontId="2" fillId="0" borderId="0" xfId="52" applyFont="1" applyFill="1" applyAlignment="1"/>
    <xf numFmtId="0" fontId="2" fillId="0" borderId="0" xfId="52" applyFont="1" applyFill="1" applyBorder="1"/>
    <xf numFmtId="0" fontId="2" fillId="0" borderId="0" xfId="52" applyFont="1" applyFill="1" applyBorder="1" applyAlignment="1"/>
    <xf numFmtId="0" fontId="23" fillId="24" borderId="13" xfId="52" applyFont="1" applyFill="1" applyBorder="1" applyAlignment="1">
      <alignment horizontal="center"/>
    </xf>
    <xf numFmtId="0" fontId="23" fillId="0" borderId="0" xfId="52" applyFont="1" applyFill="1" applyAlignment="1">
      <alignment horizontal="left"/>
    </xf>
    <xf numFmtId="16" fontId="23" fillId="0" borderId="14" xfId="52" quotePrefix="1" applyNumberFormat="1" applyFont="1" applyFill="1" applyBorder="1" applyAlignment="1">
      <alignment horizontal="center"/>
    </xf>
    <xf numFmtId="0" fontId="23" fillId="0" borderId="0" xfId="52" applyFont="1" applyFill="1" applyAlignment="1">
      <alignment horizontal="center"/>
    </xf>
    <xf numFmtId="16" fontId="23" fillId="24" borderId="15" xfId="52" quotePrefix="1" applyNumberFormat="1" applyFont="1" applyFill="1" applyBorder="1" applyAlignment="1">
      <alignment horizontal="center"/>
    </xf>
    <xf numFmtId="164" fontId="23" fillId="0" borderId="0" xfId="52" applyNumberFormat="1" applyFont="1" applyFill="1" applyAlignment="1">
      <alignment horizontal="left"/>
    </xf>
    <xf numFmtId="16" fontId="23" fillId="0" borderId="0" xfId="52" quotePrefix="1" applyNumberFormat="1" applyFont="1" applyFill="1" applyBorder="1" applyAlignment="1">
      <alignment wrapText="1"/>
    </xf>
    <xf numFmtId="0" fontId="23" fillId="0" borderId="0" xfId="52" applyFont="1" applyFill="1" applyAlignment="1">
      <alignment wrapText="1"/>
    </xf>
    <xf numFmtId="0" fontId="23" fillId="0" borderId="0" xfId="52" quotePrefix="1" applyFont="1" applyFill="1" applyBorder="1" applyAlignment="1">
      <alignment wrapText="1"/>
    </xf>
    <xf numFmtId="0" fontId="23" fillId="24" borderId="12" xfId="52" applyFont="1" applyFill="1" applyBorder="1" applyAlignment="1"/>
    <xf numFmtId="0" fontId="23" fillId="0" borderId="0" xfId="52" applyFont="1" applyFill="1" applyAlignment="1">
      <alignment horizontal="center" wrapText="1"/>
    </xf>
    <xf numFmtId="0" fontId="2" fillId="0" borderId="0" xfId="52" applyFont="1" applyFill="1" applyBorder="1" applyAlignment="1">
      <alignment horizontal="left"/>
    </xf>
    <xf numFmtId="42" fontId="2" fillId="0" borderId="0" xfId="28" applyNumberFormat="1" applyFont="1" applyFill="1" applyBorder="1" applyAlignment="1"/>
    <xf numFmtId="164" fontId="2" fillId="24" borderId="12" xfId="29" quotePrefix="1" applyNumberFormat="1" applyFont="1" applyFill="1" applyBorder="1" applyAlignment="1">
      <alignment wrapText="1"/>
    </xf>
    <xf numFmtId="0" fontId="2" fillId="0" borderId="0" xfId="52" applyFont="1" applyFill="1" applyAlignment="1">
      <alignment horizontal="left" indent="1"/>
    </xf>
    <xf numFmtId="165" fontId="2" fillId="24" borderId="12" xfId="28" quotePrefix="1" applyNumberFormat="1" applyFont="1" applyFill="1" applyBorder="1" applyAlignment="1">
      <alignment wrapText="1"/>
    </xf>
    <xf numFmtId="165" fontId="2" fillId="24" borderId="15" xfId="28" quotePrefix="1" applyNumberFormat="1" applyFont="1" applyFill="1" applyBorder="1" applyAlignment="1">
      <alignment wrapText="1"/>
    </xf>
    <xf numFmtId="165" fontId="2" fillId="24" borderId="12" xfId="28" applyNumberFormat="1" applyFont="1" applyFill="1" applyBorder="1" applyAlignment="1"/>
    <xf numFmtId="3" fontId="2" fillId="0" borderId="0" xfId="52" applyNumberFormat="1" applyFont="1" applyFill="1" applyBorder="1"/>
    <xf numFmtId="170" fontId="2" fillId="0" borderId="0" xfId="45" applyNumberFormat="1" applyFont="1" applyFill="1" applyBorder="1"/>
    <xf numFmtId="170" fontId="2" fillId="0" borderId="0" xfId="45" applyNumberFormat="1" applyFont="1" applyFill="1" applyBorder="1" applyAlignment="1"/>
    <xf numFmtId="170" fontId="2" fillId="24" borderId="12" xfId="45" applyNumberFormat="1" applyFont="1" applyFill="1" applyBorder="1" applyAlignment="1"/>
    <xf numFmtId="170" fontId="2" fillId="0" borderId="14" xfId="45" applyNumberFormat="1" applyFont="1" applyFill="1" applyBorder="1" applyAlignment="1"/>
    <xf numFmtId="170" fontId="2" fillId="24" borderId="15" xfId="45" applyNumberFormat="1" applyFont="1" applyFill="1" applyBorder="1" applyAlignment="1"/>
    <xf numFmtId="0" fontId="2" fillId="0" borderId="0" xfId="52" applyFont="1" applyAlignment="1">
      <alignment horizontal="left" indent="1"/>
    </xf>
    <xf numFmtId="0" fontId="2" fillId="0" borderId="0" xfId="52" applyFont="1" applyFill="1" applyAlignment="1">
      <alignment horizontal="left"/>
    </xf>
    <xf numFmtId="0" fontId="2" fillId="24" borderId="12" xfId="52" applyFont="1" applyFill="1" applyBorder="1" applyAlignment="1"/>
    <xf numFmtId="170" fontId="2" fillId="0" borderId="0" xfId="28" applyNumberFormat="1" applyFont="1" applyFill="1" applyBorder="1" applyAlignment="1"/>
    <xf numFmtId="170" fontId="2" fillId="0" borderId="0" xfId="52" applyNumberFormat="1" applyFont="1" applyFill="1" applyAlignment="1"/>
    <xf numFmtId="170" fontId="2" fillId="0" borderId="0" xfId="52" applyNumberFormat="1" applyFont="1" applyFill="1" applyBorder="1" applyAlignment="1"/>
    <xf numFmtId="43" fontId="2" fillId="0" borderId="0" xfId="28" applyFont="1" applyFill="1" applyBorder="1" applyAlignment="1"/>
    <xf numFmtId="9" fontId="2" fillId="24" borderId="12" xfId="45" applyFont="1" applyFill="1" applyBorder="1" applyAlignment="1"/>
    <xf numFmtId="0" fontId="2" fillId="0" borderId="0" xfId="52" applyFont="1" applyAlignment="1">
      <alignment horizontal="left"/>
    </xf>
    <xf numFmtId="0" fontId="2" fillId="0" borderId="0" xfId="52" applyFont="1" applyAlignment="1"/>
    <xf numFmtId="43" fontId="2" fillId="0" borderId="0" xfId="29" applyNumberFormat="1" applyFont="1" applyFill="1" applyAlignment="1"/>
    <xf numFmtId="43" fontId="2" fillId="0" borderId="0" xfId="29" applyNumberFormat="1" applyFont="1" applyFill="1" applyBorder="1" applyAlignment="1"/>
    <xf numFmtId="43" fontId="2" fillId="24" borderId="12" xfId="29" applyNumberFormat="1" applyFont="1" applyFill="1" applyBorder="1" applyAlignment="1"/>
    <xf numFmtId="43" fontId="2" fillId="24" borderId="12" xfId="28" applyFont="1" applyFill="1" applyBorder="1" applyAlignment="1"/>
    <xf numFmtId="43" fontId="2" fillId="0" borderId="14" xfId="28" applyNumberFormat="1" applyFont="1" applyFill="1" applyBorder="1" applyAlignment="1"/>
    <xf numFmtId="43" fontId="2" fillId="24" borderId="12" xfId="28" applyNumberFormat="1" applyFont="1" applyFill="1" applyBorder="1" applyAlignment="1"/>
    <xf numFmtId="44" fontId="2" fillId="0" borderId="19" xfId="29" applyFont="1" applyFill="1" applyBorder="1" applyAlignment="1"/>
    <xf numFmtId="44" fontId="2" fillId="24" borderId="20" xfId="29" applyFont="1" applyFill="1" applyBorder="1" applyAlignment="1"/>
    <xf numFmtId="44" fontId="2" fillId="24" borderId="12" xfId="29" applyNumberFormat="1" applyFont="1" applyFill="1" applyBorder="1" applyAlignment="1"/>
    <xf numFmtId="43" fontId="2" fillId="0" borderId="0" xfId="28" applyNumberFormat="1" applyFont="1" applyFill="1" applyBorder="1" applyAlignment="1"/>
    <xf numFmtId="43" fontId="2" fillId="0" borderId="0" xfId="45" applyNumberFormat="1" applyFont="1" applyFill="1" applyBorder="1" applyAlignment="1"/>
    <xf numFmtId="43" fontId="2" fillId="24" borderId="15" xfId="28" applyNumberFormat="1" applyFont="1" applyFill="1" applyBorder="1" applyAlignment="1"/>
    <xf numFmtId="44" fontId="2" fillId="24" borderId="20" xfId="29" applyNumberFormat="1" applyFont="1" applyFill="1" applyBorder="1" applyAlignment="1"/>
    <xf numFmtId="0" fontId="2" fillId="24" borderId="16" xfId="52" applyFont="1" applyFill="1" applyBorder="1" applyAlignment="1"/>
    <xf numFmtId="43" fontId="2" fillId="0" borderId="0" xfId="28" applyFont="1" applyFill="1" applyBorder="1"/>
    <xf numFmtId="43" fontId="2" fillId="0" borderId="0" xfId="28" applyFont="1" applyFill="1" applyBorder="1" applyAlignment="1">
      <alignment horizontal="right"/>
    </xf>
    <xf numFmtId="44" fontId="2" fillId="0" borderId="0" xfId="29" applyFont="1" applyFill="1" applyBorder="1" applyAlignment="1">
      <alignment horizontal="right"/>
    </xf>
    <xf numFmtId="0" fontId="23" fillId="0" borderId="0" xfId="52" applyFont="1" applyFill="1" applyAlignment="1"/>
    <xf numFmtId="172" fontId="2" fillId="0" borderId="0" xfId="28" applyNumberFormat="1" applyFont="1" applyFill="1" applyAlignment="1"/>
    <xf numFmtId="165" fontId="2" fillId="24" borderId="12" xfId="0" applyNumberFormat="1" applyFont="1" applyFill="1" applyBorder="1" applyAlignment="1"/>
    <xf numFmtId="165" fontId="2" fillId="24" borderId="25" xfId="28" applyNumberFormat="1" applyFont="1" applyFill="1" applyBorder="1" applyAlignment="1"/>
    <xf numFmtId="165" fontId="2" fillId="0" borderId="4" xfId="28" applyNumberFormat="1" applyFont="1" applyFill="1" applyBorder="1" applyAlignment="1"/>
    <xf numFmtId="165" fontId="25" fillId="0" borderId="0" xfId="28" applyNumberFormat="1" applyFont="1" applyFill="1" applyAlignment="1"/>
    <xf numFmtId="167" fontId="2" fillId="24" borderId="23" xfId="45" applyNumberFormat="1" applyFont="1" applyFill="1" applyBorder="1" applyAlignment="1"/>
    <xf numFmtId="165" fontId="2" fillId="0" borderId="0" xfId="28" applyNumberFormat="1" applyFont="1" applyFill="1"/>
    <xf numFmtId="0" fontId="23" fillId="0" borderId="14" xfId="0" applyFont="1" applyFill="1" applyBorder="1" applyAlignment="1">
      <alignment horizontal="center"/>
    </xf>
    <xf numFmtId="0" fontId="23" fillId="0" borderId="14" xfId="0" applyFont="1" applyFill="1" applyBorder="1" applyAlignment="1">
      <alignment horizontal="center"/>
    </xf>
    <xf numFmtId="168" fontId="23" fillId="24" borderId="22" xfId="0" quotePrefix="1" applyNumberFormat="1" applyFont="1" applyFill="1" applyBorder="1" applyAlignment="1">
      <alignment horizontal="center" wrapText="1"/>
    </xf>
    <xf numFmtId="15" fontId="23" fillId="24" borderId="12" xfId="0" quotePrefix="1" applyNumberFormat="1" applyFont="1" applyFill="1" applyBorder="1" applyAlignment="1"/>
    <xf numFmtId="41" fontId="2" fillId="24" borderId="12" xfId="0" applyNumberFormat="1" applyFont="1" applyFill="1" applyBorder="1" applyAlignment="1"/>
    <xf numFmtId="165" fontId="2" fillId="24" borderId="20" xfId="29" applyNumberFormat="1" applyFont="1" applyFill="1" applyBorder="1" applyAlignment="1"/>
    <xf numFmtId="43" fontId="23" fillId="24" borderId="12" xfId="0" quotePrefix="1" applyNumberFormat="1" applyFont="1" applyFill="1" applyBorder="1" applyAlignment="1"/>
    <xf numFmtId="43" fontId="2" fillId="24" borderId="12" xfId="0" applyNumberFormat="1" applyFont="1" applyFill="1" applyBorder="1" applyAlignment="1"/>
    <xf numFmtId="173" fontId="2" fillId="0" borderId="0" xfId="52" applyNumberFormat="1" applyFont="1" applyFill="1" applyBorder="1" applyAlignment="1"/>
    <xf numFmtId="42" fontId="2" fillId="0" borderId="0" xfId="52" applyNumberFormat="1" applyFont="1" applyFill="1" applyBorder="1" applyAlignment="1"/>
    <xf numFmtId="173" fontId="2" fillId="0" borderId="0" xfId="52" applyNumberFormat="1" applyFont="1" applyFill="1" applyAlignment="1"/>
    <xf numFmtId="172" fontId="23" fillId="0" borderId="0" xfId="28" quotePrefix="1" applyNumberFormat="1" applyFont="1" applyFill="1" applyBorder="1" applyAlignment="1"/>
    <xf numFmtId="172" fontId="2" fillId="0" borderId="0" xfId="29" applyNumberFormat="1" applyFont="1" applyFill="1" applyAlignment="1"/>
    <xf numFmtId="172" fontId="26" fillId="24" borderId="12" xfId="28" applyNumberFormat="1" applyFont="1" applyFill="1" applyBorder="1" applyAlignment="1"/>
    <xf numFmtId="169" fontId="2" fillId="24" borderId="23" xfId="29" applyNumberFormat="1" applyFont="1" applyFill="1" applyBorder="1" applyAlignment="1"/>
    <xf numFmtId="172" fontId="2" fillId="0" borderId="0" xfId="0" applyNumberFormat="1" applyFont="1" applyFill="1" applyAlignment="1"/>
    <xf numFmtId="0" fontId="23" fillId="0" borderId="14" xfId="0" applyFont="1" applyFill="1" applyBorder="1" applyAlignment="1">
      <alignment horizontal="center"/>
    </xf>
    <xf numFmtId="0" fontId="23" fillId="0" borderId="14" xfId="52" applyFont="1" applyFill="1" applyBorder="1" applyAlignment="1">
      <alignment horizontal="center"/>
    </xf>
    <xf numFmtId="0" fontId="2" fillId="0" borderId="0" xfId="52" applyFont="1" applyFill="1" applyAlignment="1">
      <alignment wrapText="1"/>
    </xf>
    <xf numFmtId="164" fontId="2" fillId="0" borderId="0" xfId="29" applyNumberFormat="1" applyFont="1" applyFill="1"/>
    <xf numFmtId="0" fontId="23" fillId="24" borderId="12" xfId="0" quotePrefix="1" applyFont="1" applyFill="1" applyBorder="1" applyAlignment="1">
      <alignment wrapText="1"/>
    </xf>
    <xf numFmtId="16" fontId="23" fillId="0" borderId="0" xfId="0" quotePrefix="1" applyNumberFormat="1" applyFont="1" applyFill="1" applyBorder="1" applyAlignment="1">
      <alignment wrapText="1"/>
    </xf>
    <xf numFmtId="0" fontId="23" fillId="0" borderId="0" xfId="0" quotePrefix="1" applyFont="1" applyFill="1" applyBorder="1" applyAlignment="1">
      <alignment wrapText="1"/>
    </xf>
    <xf numFmtId="0" fontId="23" fillId="0" borderId="0" xfId="0" applyFont="1" applyFill="1" applyAlignment="1">
      <alignment horizontal="center" wrapText="1"/>
    </xf>
    <xf numFmtId="167" fontId="2" fillId="24" borderId="12" xfId="29" applyNumberFormat="1" applyFont="1" applyFill="1" applyBorder="1" applyAlignment="1"/>
    <xf numFmtId="167" fontId="23" fillId="0" borderId="0" xfId="0" applyNumberFormat="1" applyFont="1" applyFill="1" applyAlignment="1">
      <alignment wrapText="1"/>
    </xf>
    <xf numFmtId="167" fontId="2" fillId="0" borderId="0" xfId="29" applyNumberFormat="1" applyFont="1" applyFill="1" applyAlignment="1"/>
    <xf numFmtId="167" fontId="2" fillId="24" borderId="15" xfId="29" applyNumberFormat="1" applyFont="1" applyFill="1" applyBorder="1" applyAlignment="1"/>
    <xf numFmtId="167" fontId="2" fillId="0" borderId="14" xfId="29" applyNumberFormat="1" applyFont="1" applyFill="1" applyBorder="1" applyAlignment="1"/>
    <xf numFmtId="165" fontId="2" fillId="0" borderId="0" xfId="29" applyNumberFormat="1" applyFont="1" applyFill="1" applyAlignment="1">
      <alignment horizontal="right" vertical="center"/>
    </xf>
    <xf numFmtId="9" fontId="23" fillId="0" borderId="0" xfId="45" applyFont="1" applyFill="1" applyAlignment="1">
      <alignment horizontal="center" wrapText="1"/>
    </xf>
    <xf numFmtId="9" fontId="2" fillId="0" borderId="0" xfId="45" quotePrefix="1" applyFont="1" applyFill="1" applyBorder="1" applyAlignment="1">
      <alignment wrapText="1"/>
    </xf>
    <xf numFmtId="9" fontId="23" fillId="0" borderId="0" xfId="45" applyFont="1" applyFill="1" applyBorder="1" applyAlignment="1">
      <alignment wrapText="1"/>
    </xf>
    <xf numFmtId="9" fontId="23" fillId="0" borderId="0" xfId="45" applyFont="1" applyFill="1" applyAlignment="1">
      <alignment wrapText="1"/>
    </xf>
    <xf numFmtId="9" fontId="2" fillId="24" borderId="12" xfId="45" quotePrefix="1" applyFont="1" applyFill="1" applyBorder="1" applyAlignment="1">
      <alignment wrapText="1"/>
    </xf>
    <xf numFmtId="9" fontId="2" fillId="0" borderId="0" xfId="45" applyFont="1" applyFill="1"/>
    <xf numFmtId="9" fontId="2" fillId="0" borderId="0" xfId="45" applyFont="1" applyFill="1" applyAlignment="1">
      <alignment horizontal="right" vertical="center"/>
    </xf>
    <xf numFmtId="174" fontId="2" fillId="24" borderId="16" xfId="29" applyNumberFormat="1" applyFont="1" applyFill="1" applyBorder="1" applyAlignment="1"/>
    <xf numFmtId="174" fontId="2" fillId="0" borderId="0" xfId="29" applyNumberFormat="1" applyFont="1" applyFill="1" applyBorder="1" applyAlignment="1"/>
    <xf numFmtId="0" fontId="2" fillId="0" borderId="0" xfId="0" applyFont="1" applyFill="1" applyBorder="1"/>
    <xf numFmtId="0" fontId="2" fillId="0" borderId="0" xfId="0" applyFont="1"/>
    <xf numFmtId="167" fontId="2" fillId="0" borderId="0" xfId="0" applyNumberFormat="1" applyFont="1" applyFill="1"/>
    <xf numFmtId="175" fontId="2" fillId="24" borderId="12" xfId="29" applyNumberFormat="1" applyFont="1" applyFill="1" applyBorder="1" applyAlignment="1"/>
    <xf numFmtId="175" fontId="2" fillId="0" borderId="0" xfId="29" applyNumberFormat="1" applyFont="1" applyFill="1" applyBorder="1" applyAlignment="1"/>
    <xf numFmtId="0" fontId="23" fillId="0" borderId="0" xfId="0" applyFont="1" applyFill="1" applyBorder="1" applyAlignment="1">
      <alignment horizontal="center" wrapText="1"/>
    </xf>
    <xf numFmtId="175" fontId="2" fillId="24" borderId="15" xfId="29" applyNumberFormat="1" applyFont="1" applyFill="1" applyBorder="1" applyAlignment="1"/>
    <xf numFmtId="175" fontId="2" fillId="0" borderId="14" xfId="29" applyNumberFormat="1" applyFont="1" applyFill="1" applyBorder="1" applyAlignment="1"/>
    <xf numFmtId="9" fontId="2" fillId="24" borderId="12" xfId="29" applyNumberFormat="1" applyFont="1" applyFill="1" applyBorder="1" applyAlignment="1"/>
    <xf numFmtId="9" fontId="2" fillId="0" borderId="0" xfId="29" applyNumberFormat="1" applyFont="1" applyFill="1" applyAlignment="1"/>
    <xf numFmtId="9" fontId="2" fillId="0" borderId="0" xfId="29" applyNumberFormat="1" applyFont="1" applyFill="1" applyBorder="1" applyAlignment="1"/>
    <xf numFmtId="167" fontId="23" fillId="0" borderId="0" xfId="0" quotePrefix="1" applyNumberFormat="1" applyFont="1" applyFill="1" applyBorder="1" applyAlignment="1">
      <alignment wrapText="1"/>
    </xf>
    <xf numFmtId="167" fontId="23" fillId="24" borderId="12" xfId="0" quotePrefix="1" applyNumberFormat="1" applyFont="1" applyFill="1" applyBorder="1" applyAlignment="1">
      <alignment wrapText="1"/>
    </xf>
    <xf numFmtId="174" fontId="2" fillId="0" borderId="0" xfId="29" applyNumberFormat="1" applyFont="1" applyFill="1" applyAlignment="1"/>
    <xf numFmtId="167" fontId="2" fillId="0" borderId="0" xfId="29" applyNumberFormat="1" applyFont="1" applyFill="1" applyBorder="1" applyAlignment="1">
      <alignment horizontal="right"/>
    </xf>
    <xf numFmtId="167" fontId="2" fillId="0" borderId="14" xfId="29" applyNumberFormat="1" applyFont="1" applyFill="1" applyBorder="1" applyAlignment="1">
      <alignment horizontal="right"/>
    </xf>
    <xf numFmtId="167" fontId="23" fillId="0" borderId="0" xfId="0" applyNumberFormat="1" applyFont="1" applyFill="1" applyAlignment="1">
      <alignment horizontal="right" wrapText="1"/>
    </xf>
    <xf numFmtId="167" fontId="2" fillId="24" borderId="15" xfId="29" applyNumberFormat="1" applyFont="1" applyFill="1" applyBorder="1" applyAlignment="1">
      <alignment horizontal="right"/>
    </xf>
    <xf numFmtId="165" fontId="2" fillId="0" borderId="0" xfId="29" quotePrefix="1" applyNumberFormat="1" applyFont="1" applyFill="1" applyBorder="1" applyAlignment="1"/>
    <xf numFmtId="167" fontId="23" fillId="0" borderId="0" xfId="0" applyNumberFormat="1" applyFont="1" applyFill="1" applyAlignment="1">
      <alignment horizontal="center" wrapText="1"/>
    </xf>
    <xf numFmtId="164" fontId="23" fillId="0" borderId="0" xfId="29" applyNumberFormat="1" applyFont="1" applyFill="1" applyAlignment="1">
      <alignment wrapText="1"/>
    </xf>
    <xf numFmtId="165" fontId="2" fillId="24" borderId="15" xfId="28" applyNumberFormat="1" applyFont="1" applyFill="1" applyBorder="1" applyAlignment="1"/>
    <xf numFmtId="164" fontId="2" fillId="0" borderId="14" xfId="29" applyNumberFormat="1" applyFont="1" applyFill="1" applyBorder="1" applyAlignment="1">
      <alignment horizontal="center"/>
    </xf>
    <xf numFmtId="164" fontId="23" fillId="0" borderId="0" xfId="29" applyNumberFormat="1" applyFont="1" applyFill="1" applyAlignment="1">
      <alignment horizontal="center" wrapText="1"/>
    </xf>
    <xf numFmtId="164" fontId="2" fillId="24" borderId="15" xfId="29" applyNumberFormat="1" applyFont="1" applyFill="1" applyBorder="1" applyAlignment="1">
      <alignment horizontal="center"/>
    </xf>
    <xf numFmtId="16" fontId="23" fillId="0" borderId="0" xfId="0" quotePrefix="1" applyNumberFormat="1" applyFont="1" applyFill="1" applyBorder="1" applyAlignment="1">
      <alignment horizontal="center" wrapText="1"/>
    </xf>
    <xf numFmtId="0" fontId="23" fillId="0" borderId="0" xfId="0" quotePrefix="1" applyFont="1" applyFill="1" applyBorder="1" applyAlignment="1">
      <alignment horizontal="center" wrapText="1"/>
    </xf>
    <xf numFmtId="0" fontId="23" fillId="24" borderId="12" xfId="0" quotePrefix="1" applyFont="1" applyFill="1" applyBorder="1" applyAlignment="1">
      <alignment horizontal="center" wrapText="1"/>
    </xf>
    <xf numFmtId="167" fontId="2" fillId="0" borderId="0" xfId="29" applyNumberFormat="1" applyFont="1" applyFill="1" applyAlignment="1">
      <alignment horizontal="right" vertical="center"/>
    </xf>
    <xf numFmtId="167" fontId="2" fillId="24" borderId="12" xfId="29" applyNumberFormat="1" applyFont="1" applyFill="1" applyBorder="1" applyAlignment="1">
      <alignment horizontal="right" vertical="center"/>
    </xf>
    <xf numFmtId="167" fontId="2" fillId="0" borderId="14" xfId="29" applyNumberFormat="1" applyFont="1" applyFill="1" applyBorder="1" applyAlignment="1">
      <alignment horizontal="right" vertical="center"/>
    </xf>
    <xf numFmtId="167" fontId="2" fillId="24" borderId="15" xfId="29" applyNumberFormat="1" applyFont="1" applyFill="1" applyBorder="1" applyAlignment="1">
      <alignment horizontal="right" vertical="center"/>
    </xf>
    <xf numFmtId="165" fontId="2" fillId="24" borderId="12" xfId="0" applyNumberFormat="1" applyFont="1" applyFill="1" applyBorder="1"/>
    <xf numFmtId="165" fontId="2" fillId="0" borderId="0" xfId="29" applyNumberFormat="1" applyFont="1" applyFill="1" applyBorder="1" applyAlignment="1">
      <alignment horizontal="right" vertical="center"/>
    </xf>
    <xf numFmtId="9" fontId="2" fillId="0" borderId="0" xfId="29" applyNumberFormat="1" applyFont="1" applyFill="1" applyAlignment="1">
      <alignment horizontal="right" vertical="center"/>
    </xf>
    <xf numFmtId="9" fontId="2" fillId="24" borderId="12" xfId="29" applyNumberFormat="1" applyFont="1" applyFill="1" applyBorder="1" applyAlignment="1">
      <alignment horizontal="right" vertical="center"/>
    </xf>
    <xf numFmtId="9" fontId="2" fillId="0" borderId="0" xfId="29" applyNumberFormat="1" applyFont="1" applyFill="1" applyBorder="1" applyAlignment="1">
      <alignment horizontal="right" vertical="center"/>
    </xf>
    <xf numFmtId="174" fontId="2" fillId="0" borderId="0" xfId="29" applyNumberFormat="1" applyFont="1" applyFill="1" applyBorder="1" applyAlignment="1">
      <alignment horizontal="right" vertical="center"/>
    </xf>
    <xf numFmtId="174" fontId="2" fillId="24" borderId="16" xfId="29" applyNumberFormat="1" applyFont="1" applyFill="1" applyBorder="1" applyAlignment="1">
      <alignment horizontal="right" vertical="center"/>
    </xf>
    <xf numFmtId="176" fontId="2" fillId="0" borderId="0" xfId="0" applyNumberFormat="1" applyFont="1" applyFill="1"/>
    <xf numFmtId="175" fontId="2" fillId="24" borderId="12" xfId="29" applyNumberFormat="1" applyFont="1" applyFill="1" applyBorder="1" applyAlignment="1">
      <alignment horizontal="right" vertical="center"/>
    </xf>
    <xf numFmtId="175" fontId="2" fillId="0" borderId="0" xfId="29" applyNumberFormat="1" applyFont="1" applyFill="1" applyBorder="1" applyAlignment="1">
      <alignment horizontal="right" vertical="center"/>
    </xf>
    <xf numFmtId="177" fontId="2" fillId="24" borderId="15" xfId="29" applyNumberFormat="1" applyFont="1" applyFill="1" applyBorder="1" applyAlignment="1">
      <alignment horizontal="right" vertical="center"/>
    </xf>
    <xf numFmtId="177" fontId="2" fillId="0" borderId="14" xfId="29" applyNumberFormat="1" applyFont="1" applyFill="1" applyBorder="1" applyAlignment="1">
      <alignment horizontal="right" vertical="center"/>
    </xf>
    <xf numFmtId="165" fontId="2" fillId="24" borderId="12" xfId="29" applyNumberFormat="1" applyFont="1" applyFill="1" applyBorder="1" applyAlignment="1">
      <alignment horizontal="right" vertical="center"/>
    </xf>
    <xf numFmtId="165" fontId="2" fillId="0" borderId="0" xfId="28" applyNumberFormat="1" applyFont="1" applyFill="1" applyBorder="1" applyAlignment="1">
      <alignment horizontal="right" vertical="center"/>
    </xf>
    <xf numFmtId="0" fontId="2" fillId="0" borderId="0" xfId="0" applyFont="1" applyFill="1" applyBorder="1" applyAlignment="1">
      <alignment horizontal="left" indent="2"/>
    </xf>
    <xf numFmtId="0" fontId="2" fillId="0" borderId="0" xfId="0" applyFont="1" applyAlignment="1">
      <alignment vertical="center" wrapText="1"/>
    </xf>
    <xf numFmtId="0" fontId="24" fillId="0" borderId="0" xfId="0" applyFont="1" applyFill="1"/>
    <xf numFmtId="164" fontId="2" fillId="0" borderId="14" xfId="29" applyNumberFormat="1" applyFont="1" applyFill="1" applyBorder="1" applyAlignment="1"/>
    <xf numFmtId="165" fontId="23" fillId="0" borderId="0" xfId="28" applyNumberFormat="1" applyFont="1" applyFill="1" applyBorder="1" applyAlignment="1">
      <alignment horizontal="center" wrapText="1"/>
    </xf>
    <xf numFmtId="43" fontId="23" fillId="0" borderId="0" xfId="0" applyNumberFormat="1" applyFont="1" applyFill="1" applyAlignment="1">
      <alignment horizontal="center" wrapText="1"/>
    </xf>
    <xf numFmtId="1" fontId="2" fillId="0" borderId="0" xfId="0" applyNumberFormat="1" applyFont="1" applyFill="1"/>
    <xf numFmtId="43" fontId="2" fillId="0" borderId="0" xfId="28" applyFont="1" applyFill="1"/>
    <xf numFmtId="165" fontId="2" fillId="0" borderId="0" xfId="0" applyNumberFormat="1" applyFont="1" applyFill="1"/>
    <xf numFmtId="0" fontId="23" fillId="24" borderId="21" xfId="52" applyFont="1" applyFill="1" applyBorder="1" applyAlignment="1">
      <alignment horizontal="center"/>
    </xf>
    <xf numFmtId="16" fontId="23" fillId="0" borderId="0" xfId="52" quotePrefix="1" applyNumberFormat="1" applyFont="1" applyFill="1" applyBorder="1" applyAlignment="1">
      <alignment horizontal="center"/>
    </xf>
    <xf numFmtId="164" fontId="23" fillId="0" borderId="0" xfId="52" applyNumberFormat="1" applyFont="1" applyFill="1" applyAlignment="1"/>
    <xf numFmtId="0" fontId="23" fillId="0" borderId="0" xfId="52" applyFont="1" applyFill="1" applyBorder="1" applyAlignment="1">
      <alignment wrapText="1"/>
    </xf>
    <xf numFmtId="0" fontId="23" fillId="0" borderId="0" xfId="52" applyFont="1" applyFill="1"/>
    <xf numFmtId="164" fontId="2" fillId="0" borderId="0" xfId="52" applyNumberFormat="1" applyFont="1" applyFill="1" applyAlignment="1"/>
    <xf numFmtId="164" fontId="2" fillId="24" borderId="12" xfId="52" applyNumberFormat="1" applyFont="1" applyFill="1" applyBorder="1" applyAlignment="1"/>
    <xf numFmtId="171" fontId="2" fillId="0" borderId="0" xfId="52" applyNumberFormat="1" applyFont="1" applyFill="1" applyAlignment="1"/>
    <xf numFmtId="165" fontId="2" fillId="24" borderId="12" xfId="52" applyNumberFormat="1" applyFont="1" applyFill="1" applyBorder="1" applyAlignment="1"/>
    <xf numFmtId="0" fontId="2" fillId="0" borderId="0" xfId="52" applyFont="1" applyFill="1" applyAlignment="1">
      <alignment vertical="center"/>
    </xf>
    <xf numFmtId="0" fontId="2" fillId="0" borderId="0" xfId="52" applyFont="1" applyFill="1" applyAlignment="1">
      <alignment vertical="top"/>
    </xf>
    <xf numFmtId="41" fontId="2" fillId="0" borderId="0" xfId="52" applyNumberFormat="1" applyFont="1" applyFill="1" applyAlignment="1"/>
    <xf numFmtId="0" fontId="2" fillId="0" borderId="0" xfId="52" applyFont="1" applyFill="1" applyAlignment="1">
      <alignment horizontal="left" indent="2"/>
    </xf>
    <xf numFmtId="165" fontId="2" fillId="24" borderId="25" xfId="52" applyNumberFormat="1" applyFont="1" applyFill="1" applyBorder="1" applyAlignment="1"/>
    <xf numFmtId="165" fontId="2" fillId="24" borderId="15" xfId="52" applyNumberFormat="1" applyFont="1" applyFill="1" applyBorder="1" applyAlignment="1"/>
    <xf numFmtId="0" fontId="2" fillId="0" borderId="0" xfId="52" applyFont="1" applyFill="1" applyAlignment="1">
      <alignment horizontal="left" vertical="center"/>
    </xf>
    <xf numFmtId="0" fontId="2" fillId="24" borderId="26" xfId="52" applyFont="1" applyFill="1" applyBorder="1" applyAlignment="1"/>
    <xf numFmtId="164" fontId="2" fillId="0" borderId="24" xfId="52" applyNumberFormat="1" applyFont="1" applyFill="1" applyBorder="1" applyAlignment="1"/>
    <xf numFmtId="0" fontId="2" fillId="0" borderId="24" xfId="52" applyFont="1" applyFill="1" applyBorder="1" applyAlignment="1"/>
    <xf numFmtId="167" fontId="2" fillId="0" borderId="24" xfId="52" applyNumberFormat="1" applyFont="1" applyFill="1" applyBorder="1" applyAlignment="1"/>
    <xf numFmtId="164" fontId="2" fillId="0" borderId="0" xfId="52" applyNumberFormat="1" applyFont="1" applyFill="1" applyBorder="1" applyAlignment="1"/>
    <xf numFmtId="172" fontId="2" fillId="0" borderId="0" xfId="28" applyNumberFormat="1" applyFont="1" applyFill="1"/>
    <xf numFmtId="0" fontId="23" fillId="24" borderId="17" xfId="0" applyFont="1" applyFill="1" applyBorder="1" applyAlignment="1">
      <alignment horizontal="center"/>
    </xf>
    <xf numFmtId="0" fontId="23" fillId="24" borderId="3" xfId="0" applyFont="1" applyFill="1" applyBorder="1" applyAlignment="1">
      <alignment horizontal="center"/>
    </xf>
    <xf numFmtId="0" fontId="23" fillId="24" borderId="18" xfId="0" applyFont="1" applyFill="1" applyBorder="1" applyAlignment="1">
      <alignment horizontal="center"/>
    </xf>
    <xf numFmtId="0" fontId="23" fillId="0" borderId="14" xfId="0" applyFont="1" applyFill="1" applyBorder="1" applyAlignment="1">
      <alignment horizontal="center"/>
    </xf>
    <xf numFmtId="0" fontId="23" fillId="24" borderId="17" xfId="52" applyFont="1" applyFill="1" applyBorder="1" applyAlignment="1">
      <alignment horizontal="center"/>
    </xf>
    <xf numFmtId="0" fontId="23" fillId="24" borderId="3" xfId="52" applyFont="1" applyFill="1" applyBorder="1" applyAlignment="1">
      <alignment horizontal="center"/>
    </xf>
    <xf numFmtId="0" fontId="23" fillId="24" borderId="18" xfId="52" applyFont="1" applyFill="1" applyBorder="1" applyAlignment="1">
      <alignment horizontal="center"/>
    </xf>
    <xf numFmtId="0" fontId="23" fillId="0" borderId="14" xfId="52" applyFont="1" applyFill="1" applyBorder="1" applyAlignment="1">
      <alignment horizontal="center"/>
    </xf>
    <xf numFmtId="0" fontId="2" fillId="0" borderId="0" xfId="0" applyFont="1" applyFill="1" applyAlignment="1">
      <alignment horizontal="left" vertical="top" wrapText="1"/>
    </xf>
  </cellXfs>
  <cellStyles count="5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urrency" xfId="29" builtinId="4"/>
    <cellStyle name="E&amp;Y House" xfId="30"/>
    <cellStyle name="Euro" xfId="31"/>
    <cellStyle name="Explanatory Text" xfId="32" builtinId="53" customBuiltin="1"/>
    <cellStyle name="Good" xfId="33" builtinId="26" customBuiltin="1"/>
    <cellStyle name="Header1" xfId="34"/>
    <cellStyle name="Header2" xfId="35"/>
    <cellStyle name="Heading 1" xfId="36" builtinId="16" customBuiltin="1"/>
    <cellStyle name="Heading 2" xfId="37" builtinId="17" customBuiltin="1"/>
    <cellStyle name="Heading 3" xfId="38" builtinId="18" customBuiltin="1"/>
    <cellStyle name="Heading 4" xfId="39" builtinId="19" customBuiltin="1"/>
    <cellStyle name="Input" xfId="40" builtinId="20" customBuiltin="1"/>
    <cellStyle name="Linked Cell" xfId="41" builtinId="24" customBuiltin="1"/>
    <cellStyle name="Neutral" xfId="42" builtinId="28" customBuiltin="1"/>
    <cellStyle name="Normal" xfId="0" builtinId="0"/>
    <cellStyle name="Normal 2" xfId="52"/>
    <cellStyle name="Normal 2 2" xfId="51"/>
    <cellStyle name="Note" xfId="43" builtinId="10" customBuiltin="1"/>
    <cellStyle name="Output" xfId="44" builtinId="21" customBuiltin="1"/>
    <cellStyle name="Percent" xfId="45" builtinId="5"/>
    <cellStyle name="Title" xfId="46" builtinId="15" customBuiltin="1"/>
    <cellStyle name="Total" xfId="47" builtinId="25" customBuiltin="1"/>
    <cellStyle name="Tusental_Cepheid A B  5 Year_Capex_HR_from_Henry" xfId="48"/>
    <cellStyle name="Valuta_IFRS_Balance_Cepheid Mar 07 with More Questions" xfId="49"/>
    <cellStyle name="Warning Text" xfId="5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7"/>
  <sheetViews>
    <sheetView showGridLines="0" zoomScale="120" zoomScaleNormal="120" workbookViewId="0">
      <selection activeCell="A29" sqref="A29"/>
    </sheetView>
  </sheetViews>
  <sheetFormatPr defaultColWidth="9.140625" defaultRowHeight="12.75" x14ac:dyDescent="0.2"/>
  <cols>
    <col min="1" max="1" width="150.28515625" style="1" customWidth="1"/>
    <col min="2" max="3" width="9.140625" style="1"/>
    <col min="4" max="4" width="9.140625" style="165"/>
    <col min="5" max="5" width="9.140625" style="1"/>
    <col min="6" max="6" width="9.140625" style="165"/>
    <col min="7" max="16384" width="9.140625" style="1"/>
  </cols>
  <sheetData>
    <row r="2" spans="1:1" x14ac:dyDescent="0.2">
      <c r="A2" s="233" t="s">
        <v>216</v>
      </c>
    </row>
    <row r="3" spans="1:1" ht="153" x14ac:dyDescent="0.2">
      <c r="A3" s="164" t="s">
        <v>217</v>
      </c>
    </row>
    <row r="4" spans="1:1" ht="12" customHeight="1" x14ac:dyDescent="0.2">
      <c r="A4" s="164"/>
    </row>
    <row r="5" spans="1:1" ht="25.5" x14ac:dyDescent="0.2">
      <c r="A5" s="232" t="s">
        <v>214</v>
      </c>
    </row>
    <row r="6" spans="1:1" ht="12" customHeight="1" x14ac:dyDescent="0.2">
      <c r="A6" s="232"/>
    </row>
    <row r="7" spans="1:1" ht="51" x14ac:dyDescent="0.2">
      <c r="A7" s="232" t="s">
        <v>215</v>
      </c>
    </row>
  </sheetData>
  <printOptions horizontalCentered="1"/>
  <pageMargins left="0.7" right="0.7" top="1" bottom="0.75" header="0.3" footer="0.3"/>
  <pageSetup scale="85" orientation="landscape" r:id="rId1"/>
  <headerFooter alignWithMargins="0">
    <oddHeader>&amp;L&amp;G</oddHeader>
    <oddFooter>&amp;C&amp;8PTC Investor Relations
Tel: (781) 370 6359</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X49"/>
  <sheetViews>
    <sheetView zoomScale="85" zoomScaleNormal="85" workbookViewId="0">
      <pane xSplit="1" ySplit="6" topLeftCell="B7" activePane="bottomRight" state="frozen"/>
      <selection activeCell="AB20" sqref="AB20"/>
      <selection pane="topRight" activeCell="AB20" sqref="AB20"/>
      <selection pane="bottomLeft" activeCell="AB20" sqref="AB20"/>
      <selection pane="bottomRight" activeCell="F55" sqref="F55"/>
    </sheetView>
  </sheetViews>
  <sheetFormatPr defaultColWidth="9.140625" defaultRowHeight="12.75" x14ac:dyDescent="0.2"/>
  <cols>
    <col min="1" max="1" width="57.7109375" style="1" bestFit="1" customWidth="1"/>
    <col min="2" max="2" width="11.7109375" style="1" customWidth="1"/>
    <col min="3" max="3" width="1.140625" style="1" customWidth="1"/>
    <col min="4" max="4" width="11.7109375" style="1" customWidth="1"/>
    <col min="5" max="5" width="1.140625" style="1" customWidth="1"/>
    <col min="6" max="6" width="11.7109375" style="1" customWidth="1"/>
    <col min="7" max="7" width="1.140625" style="1" customWidth="1"/>
    <col min="8" max="8" width="11.28515625" style="1" bestFit="1" customWidth="1"/>
    <col min="9" max="9" width="1.140625" style="1" customWidth="1"/>
    <col min="10" max="10" width="11.28515625" style="1" bestFit="1" customWidth="1"/>
    <col min="11" max="11" width="1.140625" style="1" customWidth="1"/>
    <col min="12" max="12" width="11.28515625" style="1" customWidth="1"/>
    <col min="13" max="13" width="1.140625" style="1" customWidth="1"/>
    <col min="14" max="14" width="11.7109375" style="1" customWidth="1"/>
    <col min="15" max="15" width="1.140625" style="1" customWidth="1"/>
    <col min="16" max="16" width="11.140625" style="1" customWidth="1"/>
    <col min="17" max="17" width="1.140625" style="1" customWidth="1"/>
    <col min="18" max="18" width="11.28515625" style="1" bestFit="1" customWidth="1"/>
    <col min="19" max="19" width="1.140625" style="1" customWidth="1"/>
    <col min="20" max="20" width="11.140625" style="1" customWidth="1"/>
    <col min="21" max="21" width="1.140625" style="1" customWidth="1"/>
    <col min="22" max="22" width="11.28515625" style="1" bestFit="1" customWidth="1"/>
    <col min="23" max="23" width="1.28515625" style="1" customWidth="1"/>
    <col min="24" max="24" width="12" style="1" customWidth="1"/>
    <col min="25" max="16384" width="9.140625" style="1"/>
  </cols>
  <sheetData>
    <row r="1" spans="1:24" ht="12.75" customHeight="1" x14ac:dyDescent="0.2">
      <c r="A1" s="17" t="s">
        <v>10</v>
      </c>
      <c r="B1" s="4"/>
      <c r="C1" s="4"/>
      <c r="D1" s="4"/>
      <c r="E1" s="4"/>
      <c r="F1" s="4"/>
      <c r="G1" s="4"/>
      <c r="H1" s="4"/>
      <c r="I1" s="4"/>
      <c r="J1" s="4"/>
      <c r="K1" s="4"/>
      <c r="L1" s="4"/>
      <c r="M1" s="4"/>
      <c r="N1" s="4"/>
      <c r="O1" s="4"/>
      <c r="P1" s="4"/>
      <c r="Q1" s="4"/>
      <c r="R1" s="4"/>
      <c r="S1" s="4"/>
      <c r="T1" s="4"/>
    </row>
    <row r="2" spans="1:24" ht="12.75" customHeight="1" thickBot="1" x14ac:dyDescent="0.25">
      <c r="A2" s="4"/>
    </row>
    <row r="3" spans="1:24" ht="12.75" customHeight="1" thickBot="1" x14ac:dyDescent="0.25">
      <c r="A3" s="4"/>
      <c r="B3" s="27" t="s">
        <v>6</v>
      </c>
      <c r="D3" s="27" t="s">
        <v>5</v>
      </c>
      <c r="F3" s="27" t="s">
        <v>4</v>
      </c>
      <c r="H3" s="262" t="s">
        <v>3</v>
      </c>
      <c r="I3" s="263"/>
      <c r="J3" s="263"/>
      <c r="K3" s="263"/>
      <c r="L3" s="263"/>
      <c r="M3" s="263"/>
      <c r="N3" s="264"/>
      <c r="P3" s="262" t="s">
        <v>2</v>
      </c>
      <c r="Q3" s="263"/>
      <c r="R3" s="263"/>
      <c r="S3" s="263"/>
      <c r="T3" s="263"/>
      <c r="U3" s="263"/>
      <c r="V3" s="264"/>
      <c r="X3" s="27" t="s">
        <v>149</v>
      </c>
    </row>
    <row r="4" spans="1:24" ht="12.75" customHeight="1" x14ac:dyDescent="0.2">
      <c r="A4" s="4"/>
      <c r="B4" s="9"/>
      <c r="D4" s="9"/>
      <c r="F4" s="9"/>
      <c r="H4" s="9"/>
      <c r="I4" s="9"/>
      <c r="J4" s="9"/>
      <c r="K4" s="9"/>
      <c r="L4" s="9"/>
      <c r="M4" s="9"/>
      <c r="N4" s="9"/>
      <c r="P4" s="9"/>
      <c r="Q4" s="9"/>
      <c r="R4" s="9"/>
      <c r="S4" s="9"/>
      <c r="T4" s="9"/>
    </row>
    <row r="5" spans="1:24" ht="12.75" customHeight="1" thickBot="1" x14ac:dyDescent="0.25">
      <c r="A5" s="28"/>
    </row>
    <row r="6" spans="1:24" s="28" customFormat="1" ht="12.75" customHeight="1" x14ac:dyDescent="0.2">
      <c r="B6" s="148">
        <v>40816</v>
      </c>
      <c r="D6" s="148">
        <v>41182</v>
      </c>
      <c r="F6" s="148">
        <v>41547</v>
      </c>
      <c r="H6" s="29">
        <v>41636</v>
      </c>
      <c r="I6" s="29"/>
      <c r="J6" s="29">
        <v>41727</v>
      </c>
      <c r="K6" s="29"/>
      <c r="L6" s="29">
        <v>41818</v>
      </c>
      <c r="N6" s="148">
        <v>41912</v>
      </c>
      <c r="P6" s="29">
        <v>42007</v>
      </c>
      <c r="Q6" s="30"/>
      <c r="R6" s="29">
        <v>42098</v>
      </c>
      <c r="S6" s="29"/>
      <c r="T6" s="29">
        <v>42189</v>
      </c>
      <c r="V6" s="148">
        <v>42277</v>
      </c>
      <c r="X6" s="29">
        <v>42371</v>
      </c>
    </row>
    <row r="7" spans="1:24" s="31" customFormat="1" ht="12.75" customHeight="1" x14ac:dyDescent="0.2">
      <c r="A7" s="31" t="s">
        <v>7</v>
      </c>
      <c r="B7" s="149"/>
      <c r="D7" s="149"/>
      <c r="F7" s="149"/>
      <c r="H7" s="32"/>
      <c r="J7" s="32"/>
      <c r="L7" s="33"/>
      <c r="N7" s="149"/>
      <c r="P7" s="32"/>
      <c r="Q7" s="32"/>
      <c r="R7" s="33"/>
      <c r="T7" s="33"/>
      <c r="V7" s="152"/>
      <c r="X7" s="32"/>
    </row>
    <row r="8" spans="1:24" s="3" customFormat="1" ht="12.75" customHeight="1" x14ac:dyDescent="0.2">
      <c r="A8" s="5" t="s">
        <v>11</v>
      </c>
      <c r="B8" s="67"/>
      <c r="D8" s="67"/>
      <c r="F8" s="67"/>
      <c r="H8" s="34"/>
      <c r="J8" s="34"/>
      <c r="L8" s="6"/>
      <c r="N8" s="67"/>
      <c r="P8" s="34"/>
      <c r="Q8" s="34"/>
      <c r="R8" s="6"/>
      <c r="T8" s="6"/>
      <c r="V8" s="153"/>
      <c r="X8" s="34"/>
    </row>
    <row r="9" spans="1:24" s="3" customFormat="1" ht="12.75" customHeight="1" x14ac:dyDescent="0.2">
      <c r="A9" s="7" t="s">
        <v>12</v>
      </c>
      <c r="B9" s="140"/>
      <c r="D9" s="140"/>
      <c r="F9" s="140"/>
      <c r="H9" s="35"/>
      <c r="J9" s="35"/>
      <c r="L9" s="6"/>
      <c r="N9" s="140"/>
      <c r="P9" s="35"/>
      <c r="Q9" s="35"/>
      <c r="R9" s="6"/>
      <c r="T9" s="6"/>
      <c r="V9" s="153"/>
      <c r="X9" s="35"/>
    </row>
    <row r="10" spans="1:24" s="3" customFormat="1" ht="12.75" customHeight="1" x14ac:dyDescent="0.2">
      <c r="A10" s="15" t="s">
        <v>13</v>
      </c>
      <c r="B10" s="23">
        <v>167.87799999999999</v>
      </c>
      <c r="D10" s="23">
        <v>489.54300000000001</v>
      </c>
      <c r="F10" s="23">
        <v>241.91300000000001</v>
      </c>
      <c r="G10" s="34"/>
      <c r="H10" s="6">
        <v>371.37700000000001</v>
      </c>
      <c r="J10" s="6">
        <v>270.47000000000003</v>
      </c>
      <c r="L10" s="6">
        <v>304.173</v>
      </c>
      <c r="N10" s="23">
        <v>293.654</v>
      </c>
      <c r="O10" s="36"/>
      <c r="P10" s="6">
        <v>261.05200000000002</v>
      </c>
      <c r="R10" s="6">
        <v>267.815</v>
      </c>
      <c r="T10" s="6">
        <v>275.06</v>
      </c>
      <c r="V10" s="23">
        <v>273.41699999999997</v>
      </c>
      <c r="X10" s="6">
        <v>296.79700000000003</v>
      </c>
    </row>
    <row r="11" spans="1:24" s="39" customFormat="1" ht="12.75" customHeight="1" x14ac:dyDescent="0.2">
      <c r="A11" s="15" t="s">
        <v>14</v>
      </c>
      <c r="B11" s="20">
        <v>230.22</v>
      </c>
      <c r="C11" s="3"/>
      <c r="D11" s="20">
        <v>217.37</v>
      </c>
      <c r="E11" s="3"/>
      <c r="F11" s="20">
        <v>229.10599999999999</v>
      </c>
      <c r="G11" s="34"/>
      <c r="H11" s="21">
        <v>212.57</v>
      </c>
      <c r="I11" s="3"/>
      <c r="J11" s="21">
        <v>221.28800000000001</v>
      </c>
      <c r="K11" s="3"/>
      <c r="L11" s="38">
        <v>228.62299999999999</v>
      </c>
      <c r="M11" s="3"/>
      <c r="N11" s="20">
        <v>235.68799999999999</v>
      </c>
      <c r="O11" s="36"/>
      <c r="P11" s="21">
        <v>201.39099999999999</v>
      </c>
      <c r="Q11" s="3"/>
      <c r="R11" s="21">
        <v>201.37899999999999</v>
      </c>
      <c r="S11" s="3"/>
      <c r="T11" s="38">
        <v>183.14400000000001</v>
      </c>
      <c r="U11" s="3"/>
      <c r="V11" s="20">
        <v>197.27500000000001</v>
      </c>
      <c r="X11" s="21">
        <v>161.40199999999999</v>
      </c>
    </row>
    <row r="12" spans="1:24" s="39" customFormat="1" ht="12.75" customHeight="1" x14ac:dyDescent="0.2">
      <c r="A12" s="15" t="s">
        <v>15</v>
      </c>
      <c r="B12" s="20">
        <v>140.01499999999999</v>
      </c>
      <c r="C12" s="3"/>
      <c r="D12" s="20">
        <v>149.36000000000001</v>
      </c>
      <c r="E12" s="3"/>
      <c r="F12" s="20">
        <v>169.55199999999999</v>
      </c>
      <c r="G12" s="34"/>
      <c r="H12" s="21">
        <v>148.47</v>
      </c>
      <c r="I12" s="3"/>
      <c r="J12" s="21">
        <v>171.21700000000001</v>
      </c>
      <c r="K12" s="3"/>
      <c r="L12" s="38">
        <v>139.464</v>
      </c>
      <c r="M12" s="3"/>
      <c r="N12" s="20">
        <v>171.52600000000001</v>
      </c>
      <c r="O12" s="36"/>
      <c r="P12" s="21">
        <v>203.54900000000001</v>
      </c>
      <c r="Q12" s="3"/>
      <c r="R12" s="21">
        <v>203.726</v>
      </c>
      <c r="S12" s="3"/>
      <c r="T12" s="38">
        <v>148.732</v>
      </c>
      <c r="U12" s="3"/>
      <c r="V12" s="20">
        <v>197.184</v>
      </c>
      <c r="X12" s="21">
        <v>201.38900000000001</v>
      </c>
    </row>
    <row r="13" spans="1:24" s="3" customFormat="1" ht="12.75" customHeight="1" x14ac:dyDescent="0.2">
      <c r="A13" s="15" t="s">
        <v>16</v>
      </c>
      <c r="B13" s="53">
        <v>54.151000000000003</v>
      </c>
      <c r="D13" s="53">
        <v>22.879000000000001</v>
      </c>
      <c r="F13" s="53">
        <v>39.645000000000003</v>
      </c>
      <c r="G13" s="34"/>
      <c r="H13" s="40">
        <v>36.683</v>
      </c>
      <c r="J13" s="40">
        <v>40.469000000000001</v>
      </c>
      <c r="L13" s="41">
        <v>38.969000000000001</v>
      </c>
      <c r="N13" s="53">
        <v>31.298999999999999</v>
      </c>
      <c r="O13" s="36"/>
      <c r="P13" s="40">
        <v>30.073</v>
      </c>
      <c r="R13" s="40">
        <v>33.332000000000001</v>
      </c>
      <c r="T13" s="41">
        <v>28.268999999999998</v>
      </c>
      <c r="V13" s="53">
        <v>36.802999999999997</v>
      </c>
      <c r="X13" s="40">
        <v>0</v>
      </c>
    </row>
    <row r="14" spans="1:24" s="3" customFormat="1" ht="12.75" customHeight="1" x14ac:dyDescent="0.2">
      <c r="A14" s="7" t="s">
        <v>17</v>
      </c>
      <c r="B14" s="20">
        <f>SUM(B10:B13)</f>
        <v>592.2639999999999</v>
      </c>
      <c r="D14" s="20">
        <f>SUM(D10:D13)</f>
        <v>879.15200000000004</v>
      </c>
      <c r="F14" s="20">
        <f>SUM(F10:F13)</f>
        <v>680.21600000000001</v>
      </c>
      <c r="G14" s="34"/>
      <c r="H14" s="21">
        <f>SUM(H10:H13)</f>
        <v>769.1</v>
      </c>
      <c r="J14" s="21">
        <f>SUM(J10:J13)</f>
        <v>703.44400000000007</v>
      </c>
      <c r="L14" s="21">
        <f>SUM(L10:L13)</f>
        <v>711.22900000000004</v>
      </c>
      <c r="N14" s="20">
        <f>SUM(N10:N13)</f>
        <v>732.16699999999992</v>
      </c>
      <c r="O14" s="36"/>
      <c r="P14" s="21">
        <f>SUM(P10:P13)</f>
        <v>696.06499999999994</v>
      </c>
      <c r="R14" s="21">
        <f>SUM(R10:R13)</f>
        <v>706.25199999999995</v>
      </c>
      <c r="T14" s="21">
        <f>SUM(T10:T13)</f>
        <v>635.20500000000004</v>
      </c>
      <c r="V14" s="20">
        <f>SUM(V10:V13)</f>
        <v>704.67899999999997</v>
      </c>
      <c r="X14" s="21">
        <f>SUM(X10:X13)</f>
        <v>659.58799999999997</v>
      </c>
    </row>
    <row r="15" spans="1:24" s="3" customFormat="1" ht="12.75" customHeight="1" x14ac:dyDescent="0.2">
      <c r="A15" s="7" t="s">
        <v>18</v>
      </c>
      <c r="B15" s="20">
        <v>62.569000000000003</v>
      </c>
      <c r="D15" s="20">
        <v>63.466000000000001</v>
      </c>
      <c r="F15" s="20">
        <v>64.652000000000001</v>
      </c>
      <c r="G15" s="34"/>
      <c r="H15" s="21">
        <v>63.152000000000001</v>
      </c>
      <c r="J15" s="21">
        <v>60.631999999999998</v>
      </c>
      <c r="L15" s="38">
        <v>63.582000000000001</v>
      </c>
      <c r="N15" s="20">
        <v>67.783000000000001</v>
      </c>
      <c r="O15" s="36"/>
      <c r="P15" s="21">
        <v>65.766000000000005</v>
      </c>
      <c r="R15" s="21">
        <v>65.191000000000003</v>
      </c>
      <c r="T15" s="38">
        <v>65.02</v>
      </c>
      <c r="V15" s="20">
        <v>65.162000000000006</v>
      </c>
      <c r="X15" s="21">
        <v>60.878</v>
      </c>
    </row>
    <row r="16" spans="1:24" s="39" customFormat="1" ht="12.75" customHeight="1" x14ac:dyDescent="0.2">
      <c r="A16" s="7" t="s">
        <v>19</v>
      </c>
      <c r="B16" s="20">
        <v>613.39400000000001</v>
      </c>
      <c r="C16" s="3"/>
      <c r="D16" s="20">
        <v>610.34699999999998</v>
      </c>
      <c r="E16" s="3"/>
      <c r="F16" s="20">
        <v>769.09500000000003</v>
      </c>
      <c r="G16" s="34"/>
      <c r="H16" s="21">
        <v>769.15800000000002</v>
      </c>
      <c r="I16" s="3"/>
      <c r="J16" s="21">
        <v>869.32399999999996</v>
      </c>
      <c r="K16" s="3"/>
      <c r="L16" s="21">
        <v>870.76599999999996</v>
      </c>
      <c r="M16" s="3"/>
      <c r="N16" s="20">
        <v>1012.527</v>
      </c>
      <c r="O16" s="36"/>
      <c r="P16" s="21">
        <v>1000.992</v>
      </c>
      <c r="Q16" s="3"/>
      <c r="R16" s="21">
        <v>984.95299999999997</v>
      </c>
      <c r="S16" s="3"/>
      <c r="T16" s="21">
        <v>1071.796</v>
      </c>
      <c r="U16" s="3"/>
      <c r="V16" s="20">
        <v>1069.0409999999999</v>
      </c>
      <c r="X16" s="21">
        <v>1086.23</v>
      </c>
    </row>
    <row r="17" spans="1:24" s="39" customFormat="1" ht="12.75" customHeight="1" x14ac:dyDescent="0.2">
      <c r="A17" s="42" t="s">
        <v>20</v>
      </c>
      <c r="B17" s="20">
        <v>222.017</v>
      </c>
      <c r="C17" s="3"/>
      <c r="D17" s="20">
        <v>185.88499999999999</v>
      </c>
      <c r="E17" s="3"/>
      <c r="F17" s="20">
        <v>273.12099999999998</v>
      </c>
      <c r="G17" s="34"/>
      <c r="H17" s="21">
        <v>260.26400000000001</v>
      </c>
      <c r="I17" s="3"/>
      <c r="J17" s="21">
        <v>279.90100000000001</v>
      </c>
      <c r="K17" s="3"/>
      <c r="L17" s="38">
        <v>268.01799999999997</v>
      </c>
      <c r="M17" s="3"/>
      <c r="N17" s="20">
        <v>336.87299999999999</v>
      </c>
      <c r="O17" s="36"/>
      <c r="P17" s="21">
        <v>319.02100000000002</v>
      </c>
      <c r="Q17" s="3"/>
      <c r="R17" s="21">
        <v>301.44299999999998</v>
      </c>
      <c r="S17" s="3"/>
      <c r="T17" s="38">
        <v>305.52699999999999</v>
      </c>
      <c r="U17" s="3"/>
      <c r="V17" s="20">
        <v>291.30099999999999</v>
      </c>
      <c r="X17" s="21">
        <v>317.67</v>
      </c>
    </row>
    <row r="18" spans="1:24" s="3" customFormat="1" ht="12.75" customHeight="1" x14ac:dyDescent="0.2">
      <c r="A18" s="42" t="s">
        <v>16</v>
      </c>
      <c r="B18" s="20">
        <v>98.063999999999993</v>
      </c>
      <c r="D18" s="20">
        <v>20.66</v>
      </c>
      <c r="F18" s="20">
        <v>7.6959999999999997</v>
      </c>
      <c r="G18" s="34"/>
      <c r="H18" s="21">
        <v>7.9109999999999996</v>
      </c>
      <c r="J18" s="21">
        <v>8.1590000000000007</v>
      </c>
      <c r="L18" s="38">
        <v>7.0860000000000003</v>
      </c>
      <c r="N18" s="20">
        <v>8.9580000000000002</v>
      </c>
      <c r="O18" s="36"/>
      <c r="P18" s="21">
        <v>14.327</v>
      </c>
      <c r="R18" s="21">
        <v>20.638999999999999</v>
      </c>
      <c r="T18" s="38">
        <v>27.937999999999999</v>
      </c>
      <c r="V18" s="20">
        <v>38.936</v>
      </c>
      <c r="X18" s="21">
        <v>49.631</v>
      </c>
    </row>
    <row r="19" spans="1:24" s="3" customFormat="1" ht="12.75" customHeight="1" x14ac:dyDescent="0.2">
      <c r="A19" s="42" t="s">
        <v>21</v>
      </c>
      <c r="B19" s="20">
        <v>41.374000000000002</v>
      </c>
      <c r="D19" s="20">
        <v>32.124000000000002</v>
      </c>
      <c r="F19" s="20">
        <v>34.125999999999998</v>
      </c>
      <c r="G19" s="34"/>
      <c r="H19" s="21">
        <v>35.156999999999996</v>
      </c>
      <c r="J19" s="21">
        <v>37.665999999999997</v>
      </c>
      <c r="L19" s="38">
        <v>37.524999999999999</v>
      </c>
      <c r="N19" s="20">
        <v>41.646000000000001</v>
      </c>
      <c r="O19" s="36"/>
      <c r="P19" s="21">
        <v>41.052</v>
      </c>
      <c r="R19" s="21">
        <v>30.152000000000001</v>
      </c>
      <c r="T19" s="38">
        <v>41.115000000000002</v>
      </c>
      <c r="V19" s="20">
        <v>40.793999999999997</v>
      </c>
      <c r="X19" s="21">
        <v>41.896000000000001</v>
      </c>
    </row>
    <row r="20" spans="1:24" s="3" customFormat="1" ht="12.75" customHeight="1" thickBot="1" x14ac:dyDescent="0.25">
      <c r="A20" s="42" t="s">
        <v>22</v>
      </c>
      <c r="B20" s="60">
        <f>SUM(B14:B19)</f>
        <v>1629.682</v>
      </c>
      <c r="D20" s="60">
        <f>SUM(D14:D19)</f>
        <v>1791.6340000000002</v>
      </c>
      <c r="F20" s="60">
        <f>SUM(F14:F19)</f>
        <v>1828.9060000000002</v>
      </c>
      <c r="G20" s="34"/>
      <c r="H20" s="43">
        <f>SUM(H14:H19)</f>
        <v>1904.742</v>
      </c>
      <c r="J20" s="43">
        <f>SUM(J14:J19)</f>
        <v>1959.1260000000002</v>
      </c>
      <c r="L20" s="43">
        <f>SUM(L14:L19)</f>
        <v>1958.2060000000001</v>
      </c>
      <c r="N20" s="60">
        <f>SUM(N14:N19)</f>
        <v>2199.9540000000002</v>
      </c>
      <c r="O20" s="36"/>
      <c r="P20" s="43">
        <f>SUM(P14:P19)</f>
        <v>2137.2230000000004</v>
      </c>
      <c r="R20" s="43">
        <f>SUM(R14:R19)</f>
        <v>2108.63</v>
      </c>
      <c r="T20" s="43">
        <f>SUM(T14:T19)</f>
        <v>2146.6010000000001</v>
      </c>
      <c r="V20" s="60">
        <f>SUM(V14:V19)</f>
        <v>2209.913</v>
      </c>
      <c r="X20" s="43">
        <f>SUM(X14:X19)</f>
        <v>2215.893</v>
      </c>
    </row>
    <row r="21" spans="1:24" s="3" customFormat="1" ht="12.75" customHeight="1" thickTop="1" x14ac:dyDescent="0.2">
      <c r="A21" s="44"/>
      <c r="B21" s="67"/>
      <c r="D21" s="67"/>
      <c r="F21" s="67"/>
      <c r="G21" s="34"/>
      <c r="L21" s="6"/>
      <c r="N21" s="67"/>
      <c r="O21" s="36"/>
      <c r="T21" s="6"/>
      <c r="V21" s="67"/>
    </row>
    <row r="22" spans="1:24" s="3" customFormat="1" ht="12.75" customHeight="1" x14ac:dyDescent="0.2">
      <c r="A22" s="5" t="s">
        <v>23</v>
      </c>
      <c r="B22" s="140" t="s">
        <v>24</v>
      </c>
      <c r="D22" s="140" t="s">
        <v>24</v>
      </c>
      <c r="F22" s="140" t="s">
        <v>24</v>
      </c>
      <c r="G22" s="34"/>
      <c r="H22" s="35"/>
      <c r="J22" s="35"/>
      <c r="L22" s="6"/>
      <c r="N22" s="140" t="s">
        <v>24</v>
      </c>
      <c r="O22" s="36"/>
      <c r="P22" s="35"/>
      <c r="R22" s="35"/>
      <c r="T22" s="6"/>
      <c r="V22" s="140" t="s">
        <v>24</v>
      </c>
      <c r="X22" s="35"/>
    </row>
    <row r="23" spans="1:24" s="3" customFormat="1" ht="12.75" customHeight="1" x14ac:dyDescent="0.2">
      <c r="A23" s="7" t="s">
        <v>25</v>
      </c>
      <c r="B23" s="140"/>
      <c r="D23" s="140"/>
      <c r="F23" s="140"/>
      <c r="G23" s="34"/>
      <c r="H23" s="35"/>
      <c r="J23" s="35"/>
      <c r="L23" s="6"/>
      <c r="N23" s="140"/>
      <c r="O23" s="36"/>
      <c r="P23" s="35"/>
      <c r="R23" s="35"/>
      <c r="T23" s="6"/>
      <c r="V23" s="140"/>
      <c r="X23" s="35"/>
    </row>
    <row r="24" spans="1:24" s="3" customFormat="1" ht="12.75" customHeight="1" x14ac:dyDescent="0.2">
      <c r="A24" s="15" t="s">
        <v>26</v>
      </c>
      <c r="B24" s="23">
        <v>77.141000000000005</v>
      </c>
      <c r="D24" s="23">
        <v>65.516999999999996</v>
      </c>
      <c r="F24" s="23">
        <v>66.006</v>
      </c>
      <c r="G24" s="34"/>
      <c r="H24" s="6">
        <v>59.941000000000003</v>
      </c>
      <c r="J24" s="6">
        <v>61.823</v>
      </c>
      <c r="L24" s="6">
        <v>64.317999999999998</v>
      </c>
      <c r="N24" s="23">
        <v>77.337999999999994</v>
      </c>
      <c r="O24" s="36"/>
      <c r="P24" s="6">
        <v>69.231999999999999</v>
      </c>
      <c r="R24" s="6">
        <v>72.864999999999995</v>
      </c>
      <c r="T24" s="6">
        <v>103.29300000000001</v>
      </c>
      <c r="V24" s="23">
        <f>96.434+14.54</f>
        <v>110.97399999999999</v>
      </c>
      <c r="X24" s="6">
        <v>106.788</v>
      </c>
    </row>
    <row r="25" spans="1:24" s="3" customFormat="1" ht="12.75" customHeight="1" x14ac:dyDescent="0.2">
      <c r="A25" s="15" t="s">
        <v>27</v>
      </c>
      <c r="B25" s="20">
        <v>91.912999999999997</v>
      </c>
      <c r="D25" s="20">
        <v>92.212000000000003</v>
      </c>
      <c r="F25" s="20">
        <v>112.733</v>
      </c>
      <c r="G25" s="34"/>
      <c r="H25" s="21">
        <v>75.948999999999998</v>
      </c>
      <c r="J25" s="21">
        <v>79.605999999999995</v>
      </c>
      <c r="L25" s="38">
        <v>89.498000000000005</v>
      </c>
      <c r="N25" s="20">
        <v>144.875</v>
      </c>
      <c r="O25" s="36"/>
      <c r="P25" s="21">
        <v>93.688999999999993</v>
      </c>
      <c r="R25" s="21">
        <v>132.00800000000001</v>
      </c>
      <c r="T25" s="38">
        <v>112.35</v>
      </c>
      <c r="V25" s="20">
        <v>82.414000000000001</v>
      </c>
      <c r="X25" s="21">
        <v>94.725999999999999</v>
      </c>
    </row>
    <row r="26" spans="1:24" s="3" customFormat="1" ht="12.75" customHeight="1" x14ac:dyDescent="0.2">
      <c r="A26" s="15" t="s">
        <v>28</v>
      </c>
      <c r="B26" s="20">
        <v>11.895</v>
      </c>
      <c r="D26" s="20">
        <v>0.80400000000000005</v>
      </c>
      <c r="F26" s="20">
        <v>7.0739999999999998</v>
      </c>
      <c r="G26" s="34"/>
      <c r="H26" s="21">
        <v>11.433</v>
      </c>
      <c r="J26" s="21">
        <v>12.093999999999999</v>
      </c>
      <c r="L26" s="38">
        <v>14.231999999999999</v>
      </c>
      <c r="N26" s="20">
        <v>9.3290000000000006</v>
      </c>
      <c r="O26" s="36"/>
      <c r="P26" s="21">
        <v>8.34</v>
      </c>
      <c r="R26" s="21">
        <v>14.316000000000001</v>
      </c>
      <c r="T26" s="38">
        <v>6.8390000000000004</v>
      </c>
      <c r="V26" s="20">
        <v>4.01</v>
      </c>
      <c r="X26" s="21">
        <v>4.1050000000000004</v>
      </c>
    </row>
    <row r="27" spans="1:24" s="3" customFormat="1" ht="12.75" customHeight="1" x14ac:dyDescent="0.2">
      <c r="A27" s="15" t="s">
        <v>29</v>
      </c>
      <c r="B27" s="20">
        <v>4.4400000000000004</v>
      </c>
      <c r="D27" s="20">
        <v>0.40200000000000002</v>
      </c>
      <c r="F27" s="20">
        <v>0.85299999999999998</v>
      </c>
      <c r="G27" s="34"/>
      <c r="H27" s="19">
        <v>0.17299999999999999</v>
      </c>
      <c r="J27" s="19">
        <v>1.61</v>
      </c>
      <c r="L27" s="45">
        <v>1.8129999999999999</v>
      </c>
      <c r="N27" s="20">
        <v>0.85399999999999998</v>
      </c>
      <c r="O27" s="36"/>
      <c r="P27" s="19">
        <v>0.50800000000000001</v>
      </c>
      <c r="R27" s="19">
        <v>0.183</v>
      </c>
      <c r="T27" s="45">
        <v>0.10199999999999999</v>
      </c>
      <c r="V27" s="20">
        <v>1.6220000000000001</v>
      </c>
      <c r="X27" s="19">
        <v>0</v>
      </c>
    </row>
    <row r="28" spans="1:24" s="3" customFormat="1" ht="12.75" customHeight="1" x14ac:dyDescent="0.2">
      <c r="A28" s="15" t="s">
        <v>30</v>
      </c>
      <c r="B28" s="20">
        <v>0</v>
      </c>
      <c r="D28" s="20">
        <v>7.5</v>
      </c>
      <c r="F28" s="20">
        <v>15</v>
      </c>
      <c r="G28" s="34"/>
      <c r="H28" s="19">
        <v>15</v>
      </c>
      <c r="J28" s="19">
        <v>12.5</v>
      </c>
      <c r="L28" s="19">
        <v>15.625</v>
      </c>
      <c r="N28" s="20">
        <v>25</v>
      </c>
      <c r="O28" s="36"/>
      <c r="P28" s="19">
        <v>31.25</v>
      </c>
      <c r="R28" s="19">
        <v>37.5</v>
      </c>
      <c r="T28" s="19">
        <v>43.75</v>
      </c>
      <c r="V28" s="20">
        <v>50</v>
      </c>
      <c r="X28" s="19">
        <v>0</v>
      </c>
    </row>
    <row r="29" spans="1:24" s="3" customFormat="1" ht="12.75" customHeight="1" x14ac:dyDescent="0.2">
      <c r="A29" s="15" t="s">
        <v>31</v>
      </c>
      <c r="B29" s="53">
        <v>279.935</v>
      </c>
      <c r="D29" s="53">
        <v>315.30900000000003</v>
      </c>
      <c r="F29" s="53">
        <v>326.947</v>
      </c>
      <c r="G29" s="34"/>
      <c r="H29" s="19">
        <v>293.44099999999997</v>
      </c>
      <c r="I29" s="8"/>
      <c r="J29" s="19">
        <v>358.18200000000002</v>
      </c>
      <c r="K29" s="8"/>
      <c r="L29" s="19">
        <v>362.86500000000001</v>
      </c>
      <c r="N29" s="53">
        <v>369.27100000000002</v>
      </c>
      <c r="O29" s="36"/>
      <c r="P29" s="19">
        <v>385.96300000000002</v>
      </c>
      <c r="Q29" s="8"/>
      <c r="R29" s="19">
        <v>403.86399999999998</v>
      </c>
      <c r="S29" s="8"/>
      <c r="T29" s="19">
        <v>371.85899999999998</v>
      </c>
      <c r="V29" s="53">
        <v>368.24</v>
      </c>
      <c r="X29" s="19">
        <v>373.76799999999997</v>
      </c>
    </row>
    <row r="30" spans="1:24" s="3" customFormat="1" ht="12.75" customHeight="1" x14ac:dyDescent="0.2">
      <c r="A30" s="7" t="s">
        <v>32</v>
      </c>
      <c r="B30" s="20">
        <f>SUM(B24:B29)</f>
        <v>465.32400000000001</v>
      </c>
      <c r="D30" s="151">
        <f>SUM(D24:D29)</f>
        <v>481.74400000000003</v>
      </c>
      <c r="F30" s="151">
        <f>SUM(F24:F29)</f>
        <v>528.61300000000006</v>
      </c>
      <c r="G30" s="34"/>
      <c r="H30" s="46">
        <f>SUM(H24:H29)</f>
        <v>455.93699999999995</v>
      </c>
      <c r="J30" s="46">
        <f>SUM(J24:J29)</f>
        <v>525.81500000000005</v>
      </c>
      <c r="L30" s="46">
        <f>SUM(L24:L29)</f>
        <v>548.351</v>
      </c>
      <c r="N30" s="151">
        <f>SUM(N24:N29)</f>
        <v>626.66700000000003</v>
      </c>
      <c r="O30" s="36"/>
      <c r="P30" s="46">
        <f>SUM(P24:P29)</f>
        <v>588.98199999999997</v>
      </c>
      <c r="R30" s="46">
        <f>SUM(R24:R29)</f>
        <v>660.73599999999988</v>
      </c>
      <c r="T30" s="46">
        <f>SUM(T24:T29)</f>
        <v>638.19299999999998</v>
      </c>
      <c r="V30" s="151">
        <f>SUM(V24:V29)</f>
        <v>617.26</v>
      </c>
      <c r="W30" s="35"/>
      <c r="X30" s="46">
        <f>SUM(X24:X29)</f>
        <v>579.38699999999994</v>
      </c>
    </row>
    <row r="31" spans="1:24" s="3" customFormat="1" ht="12.75" customHeight="1" x14ac:dyDescent="0.2">
      <c r="A31" s="7" t="s">
        <v>33</v>
      </c>
      <c r="B31" s="20">
        <v>200</v>
      </c>
      <c r="D31" s="20">
        <v>362.5</v>
      </c>
      <c r="F31" s="20">
        <v>243.125</v>
      </c>
      <c r="G31" s="34"/>
      <c r="H31" s="21">
        <v>353.125</v>
      </c>
      <c r="J31" s="21">
        <v>305.625</v>
      </c>
      <c r="L31" s="38">
        <v>299.375</v>
      </c>
      <c r="N31" s="20">
        <v>586.875</v>
      </c>
      <c r="O31" s="36"/>
      <c r="P31" s="21">
        <v>574.375</v>
      </c>
      <c r="R31" s="21">
        <v>493.125</v>
      </c>
      <c r="T31" s="38">
        <v>580.625</v>
      </c>
      <c r="V31" s="20">
        <v>618.125</v>
      </c>
      <c r="X31" s="21">
        <v>718.125</v>
      </c>
    </row>
    <row r="32" spans="1:24" s="3" customFormat="1" ht="12.75" customHeight="1" x14ac:dyDescent="0.2">
      <c r="A32" s="7" t="s">
        <v>29</v>
      </c>
      <c r="B32" s="20">
        <v>25.919</v>
      </c>
      <c r="D32" s="20">
        <v>31.853999999999999</v>
      </c>
      <c r="F32" s="20">
        <v>42.088000000000001</v>
      </c>
      <c r="G32" s="34"/>
      <c r="H32" s="19">
        <v>40.387</v>
      </c>
      <c r="J32" s="19">
        <v>43.973999999999997</v>
      </c>
      <c r="L32" s="19">
        <v>41.886000000000003</v>
      </c>
      <c r="N32" s="20">
        <v>36.600999999999999</v>
      </c>
      <c r="O32" s="36"/>
      <c r="P32" s="19">
        <v>36.241999999999997</v>
      </c>
      <c r="R32" s="19">
        <v>30.88</v>
      </c>
      <c r="T32" s="19">
        <v>30.61</v>
      </c>
      <c r="V32" s="20">
        <v>42.360999999999997</v>
      </c>
      <c r="X32" s="19">
        <v>13.704000000000001</v>
      </c>
    </row>
    <row r="33" spans="1:24" s="3" customFormat="1" ht="12.75" customHeight="1" x14ac:dyDescent="0.2">
      <c r="A33" s="7" t="s">
        <v>31</v>
      </c>
      <c r="B33" s="20">
        <v>14.388999999999999</v>
      </c>
      <c r="D33" s="20">
        <v>12.22</v>
      </c>
      <c r="F33" s="20">
        <v>9.9659999999999993</v>
      </c>
      <c r="G33" s="34"/>
      <c r="H33" s="19">
        <v>8.0470000000000006</v>
      </c>
      <c r="J33" s="19">
        <v>7.4</v>
      </c>
      <c r="L33" s="19">
        <v>9.0250000000000004</v>
      </c>
      <c r="N33" s="20">
        <v>13.273</v>
      </c>
      <c r="O33" s="36"/>
      <c r="P33" s="19">
        <v>11.657</v>
      </c>
      <c r="R33" s="19">
        <v>16.963000000000001</v>
      </c>
      <c r="T33" s="19">
        <v>17.28</v>
      </c>
      <c r="V33" s="20">
        <v>18.61</v>
      </c>
      <c r="X33" s="19">
        <v>15.497999999999999</v>
      </c>
    </row>
    <row r="34" spans="1:24" s="3" customFormat="1" ht="12.75" customHeight="1" x14ac:dyDescent="0.2">
      <c r="A34" s="7" t="s">
        <v>34</v>
      </c>
      <c r="B34" s="53">
        <v>101.36</v>
      </c>
      <c r="D34" s="53">
        <v>106.057</v>
      </c>
      <c r="F34" s="53">
        <v>78.634</v>
      </c>
      <c r="G34" s="34"/>
      <c r="H34" s="40">
        <v>78.597999999999999</v>
      </c>
      <c r="J34" s="40">
        <v>93.891000000000005</v>
      </c>
      <c r="L34" s="41">
        <v>87.1</v>
      </c>
      <c r="N34" s="53">
        <v>82.649000000000001</v>
      </c>
      <c r="O34" s="36"/>
      <c r="P34" s="40">
        <v>70.513999999999996</v>
      </c>
      <c r="R34" s="40">
        <v>52.706000000000003</v>
      </c>
      <c r="T34" s="41">
        <v>49.57</v>
      </c>
      <c r="V34" s="53">
        <v>53.386000000000003</v>
      </c>
      <c r="X34" s="40">
        <v>53.241999999999997</v>
      </c>
    </row>
    <row r="35" spans="1:24" s="3" customFormat="1" ht="12.75" customHeight="1" x14ac:dyDescent="0.2">
      <c r="A35" s="7" t="s">
        <v>35</v>
      </c>
      <c r="B35" s="53">
        <f>SUM(B30:B34)</f>
        <v>806.99200000000008</v>
      </c>
      <c r="D35" s="53">
        <f>SUM(D30:D34)</f>
        <v>994.37500000000011</v>
      </c>
      <c r="F35" s="53">
        <f>SUM(F30:F34)</f>
        <v>902.42600000000004</v>
      </c>
      <c r="G35" s="34"/>
      <c r="H35" s="40">
        <f>SUM(H30:H34)</f>
        <v>936.09399999999982</v>
      </c>
      <c r="J35" s="40">
        <f>SUM(J30:J34)</f>
        <v>976.70500000000004</v>
      </c>
      <c r="L35" s="40">
        <f>SUM(L30:L34)</f>
        <v>985.73699999999997</v>
      </c>
      <c r="N35" s="53">
        <f>SUM(N30:N34)</f>
        <v>1346.0650000000001</v>
      </c>
      <c r="O35" s="36"/>
      <c r="P35" s="40">
        <f>SUM(P30:P34)</f>
        <v>1281.7699999999998</v>
      </c>
      <c r="R35" s="40">
        <f>SUM(R30:R34)</f>
        <v>1254.4099999999999</v>
      </c>
      <c r="T35" s="40">
        <f>SUM(T30:T34)</f>
        <v>1316.2779999999998</v>
      </c>
      <c r="V35" s="53">
        <f>SUM(V30:V34)</f>
        <v>1349.742</v>
      </c>
      <c r="X35" s="40">
        <f>SUM(X30:X34)</f>
        <v>1379.9559999999999</v>
      </c>
    </row>
    <row r="36" spans="1:24" s="3" customFormat="1" ht="12.75" customHeight="1" x14ac:dyDescent="0.2">
      <c r="A36" s="7" t="s">
        <v>36</v>
      </c>
      <c r="B36" s="150"/>
      <c r="D36" s="150"/>
      <c r="F36" s="150"/>
      <c r="G36" s="34"/>
      <c r="H36" s="37"/>
      <c r="J36" s="37"/>
      <c r="L36" s="6"/>
      <c r="N36" s="150"/>
      <c r="O36" s="36"/>
      <c r="P36" s="37"/>
      <c r="R36" s="37"/>
      <c r="T36" s="6"/>
      <c r="V36" s="150"/>
      <c r="X36" s="37"/>
    </row>
    <row r="37" spans="1:24" s="3" customFormat="1" ht="12.75" customHeight="1" x14ac:dyDescent="0.2">
      <c r="A37" s="15" t="s">
        <v>37</v>
      </c>
      <c r="B37" s="20">
        <v>1.169</v>
      </c>
      <c r="D37" s="20">
        <v>1.196</v>
      </c>
      <c r="F37" s="20">
        <v>1.1850000000000001</v>
      </c>
      <c r="G37" s="34"/>
      <c r="H37" s="21">
        <v>1.1950000000000001</v>
      </c>
      <c r="J37" s="21">
        <v>1.1859999999999999</v>
      </c>
      <c r="L37" s="38">
        <v>1.173</v>
      </c>
      <c r="N37" s="20">
        <v>1.1499999999999999</v>
      </c>
      <c r="O37" s="36"/>
      <c r="P37" s="21">
        <v>1.149</v>
      </c>
      <c r="R37" s="21">
        <v>1.1499999999999999</v>
      </c>
      <c r="T37" s="38">
        <v>1.1419999999999999</v>
      </c>
      <c r="V37" s="20">
        <v>1.137</v>
      </c>
      <c r="X37" s="21">
        <v>1.145</v>
      </c>
    </row>
    <row r="38" spans="1:24" s="3" customFormat="1" ht="12.75" customHeight="1" x14ac:dyDescent="0.2">
      <c r="A38" s="15" t="s">
        <v>38</v>
      </c>
      <c r="B38" s="20">
        <v>1805.021</v>
      </c>
      <c r="D38" s="20">
        <v>1822.6980000000001</v>
      </c>
      <c r="F38" s="20">
        <v>1786.82</v>
      </c>
      <c r="G38" s="34"/>
      <c r="H38" s="21">
        <v>1787.364</v>
      </c>
      <c r="J38" s="21">
        <v>1759.355</v>
      </c>
      <c r="L38" s="38">
        <v>1708.4069999999999</v>
      </c>
      <c r="N38" s="20">
        <v>1597.277</v>
      </c>
      <c r="O38" s="36"/>
      <c r="P38" s="21">
        <v>1587.0170000000001</v>
      </c>
      <c r="R38" s="21">
        <v>1599.646</v>
      </c>
      <c r="T38" s="38">
        <v>1556.308</v>
      </c>
      <c r="V38" s="20">
        <v>1553.39</v>
      </c>
      <c r="X38" s="21">
        <v>1561.7950000000001</v>
      </c>
    </row>
    <row r="39" spans="1:24" s="3" customFormat="1" ht="12.75" customHeight="1" x14ac:dyDescent="0.2">
      <c r="A39" s="15" t="s">
        <v>39</v>
      </c>
      <c r="B39" s="20">
        <v>-918.73599999999999</v>
      </c>
      <c r="D39" s="20">
        <v>-954.13400000000001</v>
      </c>
      <c r="F39" s="20">
        <v>-810.36500000000001</v>
      </c>
      <c r="G39" s="34"/>
      <c r="H39" s="21">
        <v>-770.70799999999997</v>
      </c>
      <c r="J39" s="21">
        <v>-726.952</v>
      </c>
      <c r="L39" s="38">
        <v>-688.92600000000004</v>
      </c>
      <c r="N39" s="20">
        <v>-650.17100000000005</v>
      </c>
      <c r="O39" s="36"/>
      <c r="P39" s="21">
        <v>-619.88699999999994</v>
      </c>
      <c r="R39" s="21">
        <v>-614.495</v>
      </c>
      <c r="T39" s="38">
        <v>-597.05999999999995</v>
      </c>
      <c r="V39" s="20">
        <f>-588.073-14.54</f>
        <v>-602.61299999999994</v>
      </c>
      <c r="X39" s="21">
        <v>-626.50599999999997</v>
      </c>
    </row>
    <row r="40" spans="1:24" s="3" customFormat="1" ht="12.75" customHeight="1" x14ac:dyDescent="0.2">
      <c r="A40" s="15" t="s">
        <v>40</v>
      </c>
      <c r="B40" s="53">
        <v>-64.763999999999996</v>
      </c>
      <c r="D40" s="53">
        <v>-72.501000000000005</v>
      </c>
      <c r="F40" s="53">
        <v>-51.16</v>
      </c>
      <c r="G40" s="34"/>
      <c r="H40" s="40">
        <v>-49.203000000000003</v>
      </c>
      <c r="J40" s="40">
        <v>-51.167999999999999</v>
      </c>
      <c r="L40" s="41">
        <v>-48.185000000000002</v>
      </c>
      <c r="N40" s="53">
        <v>-94.367000000000004</v>
      </c>
      <c r="O40" s="36"/>
      <c r="P40" s="40">
        <v>-112.82599999999999</v>
      </c>
      <c r="R40" s="40">
        <v>-132.08099999999999</v>
      </c>
      <c r="T40" s="41">
        <v>-130.06700000000001</v>
      </c>
      <c r="V40" s="53">
        <v>-91.742999999999995</v>
      </c>
      <c r="X40" s="40">
        <v>-100.497</v>
      </c>
    </row>
    <row r="41" spans="1:24" s="3" customFormat="1" ht="12.75" customHeight="1" x14ac:dyDescent="0.2">
      <c r="A41" s="7" t="s">
        <v>41</v>
      </c>
      <c r="B41" s="20">
        <f>SUM(B37:B40)</f>
        <v>822.69</v>
      </c>
      <c r="D41" s="20">
        <f>SUM(D37:D40)</f>
        <v>797.25900000000001</v>
      </c>
      <c r="F41" s="20">
        <f>SUM(F37:F40)</f>
        <v>926.4799999999999</v>
      </c>
      <c r="G41" s="34"/>
      <c r="H41" s="21">
        <f>SUM(H37:H40)</f>
        <v>968.64800000000002</v>
      </c>
      <c r="I41" s="19"/>
      <c r="J41" s="21">
        <f>SUM(J37:J40)</f>
        <v>982.42099999999994</v>
      </c>
      <c r="L41" s="21">
        <f>SUM(L37:L40)</f>
        <v>972.46899999999982</v>
      </c>
      <c r="N41" s="20">
        <f>SUM(N37:N40)</f>
        <v>853.88900000000012</v>
      </c>
      <c r="O41" s="36"/>
      <c r="P41" s="21">
        <f>SUM(P37:P40)</f>
        <v>855.45299999999997</v>
      </c>
      <c r="Q41" s="19"/>
      <c r="R41" s="21">
        <f>SUM(R37:R40)</f>
        <v>854.22</v>
      </c>
      <c r="T41" s="21">
        <f>SUM(T37:T40)</f>
        <v>830.32300000000009</v>
      </c>
      <c r="V41" s="20">
        <f>SUM(V37:V40)</f>
        <v>860.17100000000005</v>
      </c>
      <c r="X41" s="21">
        <f>SUM(X37:X40)</f>
        <v>835.93700000000013</v>
      </c>
    </row>
    <row r="42" spans="1:24" s="47" customFormat="1" ht="12.75" customHeight="1" thickBot="1" x14ac:dyDescent="0.25">
      <c r="A42" s="42" t="s">
        <v>42</v>
      </c>
      <c r="B42" s="60">
        <f>B35+B41</f>
        <v>1629.6820000000002</v>
      </c>
      <c r="C42" s="3"/>
      <c r="D42" s="60">
        <f>D35+D41</f>
        <v>1791.634</v>
      </c>
      <c r="E42" s="3"/>
      <c r="F42" s="60">
        <f>F35+F41</f>
        <v>1828.9059999999999</v>
      </c>
      <c r="G42" s="34"/>
      <c r="H42" s="43">
        <f>H35+H41</f>
        <v>1904.7419999999997</v>
      </c>
      <c r="I42" s="3"/>
      <c r="J42" s="43">
        <f>J35+J41</f>
        <v>1959.126</v>
      </c>
      <c r="K42" s="3"/>
      <c r="L42" s="43">
        <f>L35+L41</f>
        <v>1958.2059999999997</v>
      </c>
      <c r="M42" s="3"/>
      <c r="N42" s="60">
        <f>N35+N41</f>
        <v>2199.9540000000002</v>
      </c>
      <c r="O42" s="36"/>
      <c r="P42" s="43">
        <f>P35+P41</f>
        <v>2137.223</v>
      </c>
      <c r="Q42" s="3"/>
      <c r="R42" s="43">
        <f>R35+R41</f>
        <v>2108.63</v>
      </c>
      <c r="S42" s="3"/>
      <c r="T42" s="43">
        <f>T35+T41</f>
        <v>2146.6009999999997</v>
      </c>
      <c r="U42" s="3"/>
      <c r="V42" s="60">
        <f>V35+V41</f>
        <v>2209.913</v>
      </c>
      <c r="X42" s="43">
        <f>X35+X41</f>
        <v>2215.893</v>
      </c>
    </row>
    <row r="43" spans="1:24" s="47" customFormat="1" ht="12.75" customHeight="1" thickTop="1" x14ac:dyDescent="0.2">
      <c r="A43" s="42"/>
      <c r="B43" s="23"/>
      <c r="C43" s="3"/>
      <c r="D43" s="23"/>
      <c r="E43" s="3"/>
      <c r="F43" s="23"/>
      <c r="G43" s="34"/>
      <c r="H43" s="22"/>
      <c r="I43" s="3"/>
      <c r="J43" s="22"/>
      <c r="K43" s="3"/>
      <c r="L43" s="22"/>
      <c r="M43" s="3"/>
      <c r="N43" s="23"/>
      <c r="O43" s="34"/>
      <c r="P43" s="22"/>
      <c r="Q43" s="3"/>
      <c r="R43" s="22"/>
      <c r="S43" s="3"/>
      <c r="T43" s="22"/>
      <c r="U43" s="3"/>
      <c r="V43" s="23"/>
      <c r="X43" s="22"/>
    </row>
    <row r="44" spans="1:24" s="47" customFormat="1" ht="12.75" customHeight="1" x14ac:dyDescent="0.2">
      <c r="A44" s="42"/>
      <c r="B44" s="23"/>
      <c r="C44" s="3"/>
      <c r="D44" s="23"/>
      <c r="E44" s="3"/>
      <c r="F44" s="23"/>
      <c r="G44" s="34"/>
      <c r="H44" s="22"/>
      <c r="I44" s="3"/>
      <c r="J44" s="22"/>
      <c r="K44" s="3"/>
      <c r="L44" s="22"/>
      <c r="M44" s="3"/>
      <c r="N44" s="23"/>
      <c r="O44" s="34"/>
      <c r="P44" s="22"/>
      <c r="Q44" s="3"/>
      <c r="R44" s="22"/>
      <c r="S44" s="3"/>
      <c r="T44" s="22"/>
      <c r="U44" s="3"/>
      <c r="V44" s="23"/>
      <c r="X44" s="22"/>
    </row>
    <row r="45" spans="1:24" s="3" customFormat="1" ht="12.75" customHeight="1" x14ac:dyDescent="0.2">
      <c r="A45" s="7" t="s">
        <v>43</v>
      </c>
      <c r="B45" s="20">
        <v>61</v>
      </c>
      <c r="D45" s="20">
        <v>61</v>
      </c>
      <c r="F45" s="20">
        <v>62</v>
      </c>
      <c r="G45" s="34"/>
      <c r="H45" s="19">
        <f>H11/('GAAP Income Statement'!H15/(H6-F6))</f>
        <v>58.224913441563444</v>
      </c>
      <c r="J45" s="19">
        <f>J11/('GAAP Income Statement'!J15/(J6-H6))</f>
        <v>61.263182233039238</v>
      </c>
      <c r="L45" s="19">
        <f>L11/('GAAP Income Statement'!L15/(L6-J6))</f>
        <v>61.802114462591412</v>
      </c>
      <c r="N45" s="20">
        <f>N11/('GAAP Income Statement'!N15/(N6-L6))</f>
        <v>60.415022306576347</v>
      </c>
      <c r="O45" s="34"/>
      <c r="P45" s="19">
        <f>P11/('GAAP Income Statement'!R15/(P6-N6))</f>
        <v>58.788186527860567</v>
      </c>
      <c r="R45" s="19">
        <f>R11/('GAAP Income Statement'!T15/(R6-P6))</f>
        <v>58.339320448619787</v>
      </c>
      <c r="T45" s="19">
        <f>T11/('GAAP Income Statement'!V15/(T6-R6))</f>
        <v>54.983138301557503</v>
      </c>
      <c r="V45" s="20">
        <f>V11/('GAAP Income Statement'!X15/(V6-T6))</f>
        <v>55.540554375367925</v>
      </c>
      <c r="X45" s="19">
        <f>X11/('GAAP Income Statement'!AB15/(X6-V6))</f>
        <v>52.133682911994825</v>
      </c>
    </row>
    <row r="46" spans="1:24" s="3" customFormat="1" ht="12.75" customHeight="1" thickBot="1" x14ac:dyDescent="0.25">
      <c r="B46" s="74"/>
      <c r="D46" s="74"/>
      <c r="F46" s="74"/>
      <c r="L46" s="6"/>
      <c r="N46" s="74"/>
      <c r="Q46" s="8"/>
      <c r="T46" s="6"/>
      <c r="V46" s="74"/>
    </row>
    <row r="47" spans="1:24" s="3" customFormat="1" ht="12.75" customHeight="1" x14ac:dyDescent="0.2"/>
    <row r="48" spans="1:24" s="3" customFormat="1" ht="12.75" customHeight="1" x14ac:dyDescent="0.2"/>
    <row r="49" ht="12.75" customHeight="1" x14ac:dyDescent="0.2"/>
  </sheetData>
  <mergeCells count="2">
    <mergeCell ref="H3:N3"/>
    <mergeCell ref="P3:V3"/>
  </mergeCells>
  <printOptions horizontalCentered="1"/>
  <pageMargins left="0.7" right="0.7" top="1" bottom="0.75" header="0.3" footer="0.3"/>
  <pageSetup paperSize="3" scale="96" orientation="landscape" r:id="rId1"/>
  <headerFooter alignWithMargins="0">
    <oddHeader>&amp;L&amp;G</oddHeader>
    <oddFooter>&amp;C&amp;8PTC Investor Relations
Tel: (781) 370 6359</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B97"/>
  <sheetViews>
    <sheetView zoomScale="85" zoomScaleNormal="85" workbookViewId="0">
      <pane xSplit="1" ySplit="6" topLeftCell="B7" activePane="bottomRight" state="frozen"/>
      <selection activeCell="AB20" sqref="AB20"/>
      <selection pane="topRight" activeCell="AB20" sqref="AB20"/>
      <selection pane="bottomLeft" activeCell="AB20" sqref="AB20"/>
      <selection pane="bottomRight" activeCell="AB24" sqref="AB24"/>
    </sheetView>
  </sheetViews>
  <sheetFormatPr defaultColWidth="9.140625" defaultRowHeight="12.75" x14ac:dyDescent="0.2"/>
  <cols>
    <col min="1" max="1" width="46.28515625" style="1" bestFit="1" customWidth="1"/>
    <col min="2" max="2" width="11.7109375" style="1" customWidth="1"/>
    <col min="3" max="3" width="1.140625" style="1" customWidth="1"/>
    <col min="4" max="4" width="11.7109375" style="1" customWidth="1"/>
    <col min="5" max="5" width="1.140625" style="1" customWidth="1"/>
    <col min="6" max="6" width="11.7109375" style="1" customWidth="1"/>
    <col min="7" max="7" width="1.140625" style="1" customWidth="1"/>
    <col min="8" max="8" width="9.85546875" style="1" customWidth="1"/>
    <col min="9" max="9" width="1.140625" style="1" customWidth="1"/>
    <col min="10" max="10" width="10" style="1" customWidth="1"/>
    <col min="11" max="11" width="1.140625" style="1" customWidth="1"/>
    <col min="12" max="12" width="9.85546875" style="1" customWidth="1"/>
    <col min="13" max="13" width="1.140625" style="1" customWidth="1"/>
    <col min="14" max="14" width="9.85546875" style="1" customWidth="1"/>
    <col min="15" max="15" width="1.140625" style="1" customWidth="1"/>
    <col min="16" max="16" width="11.85546875" style="1" customWidth="1"/>
    <col min="17" max="17" width="1.140625" style="1" customWidth="1"/>
    <col min="18" max="18" width="9.5703125" style="1" bestFit="1" customWidth="1"/>
    <col min="19" max="19" width="1.140625" style="1" customWidth="1"/>
    <col min="20" max="20" width="9.5703125" style="1" bestFit="1" customWidth="1"/>
    <col min="21" max="21" width="1.140625" style="1" customWidth="1"/>
    <col min="22" max="22" width="9.85546875" style="1" customWidth="1"/>
    <col min="23" max="23" width="1.140625" style="1" customWidth="1"/>
    <col min="24" max="24" width="9.85546875" style="1" bestFit="1" customWidth="1"/>
    <col min="25" max="25" width="1.140625" style="1" customWidth="1"/>
    <col min="26" max="26" width="11.85546875" style="1" customWidth="1"/>
    <col min="27" max="27" width="1" style="1" customWidth="1"/>
    <col min="28" max="28" width="10.7109375" style="1" customWidth="1"/>
    <col min="29" max="16384" width="9.140625" style="1"/>
  </cols>
  <sheetData>
    <row r="1" spans="1:28" ht="12.75" customHeight="1" x14ac:dyDescent="0.2">
      <c r="A1" s="17" t="s">
        <v>44</v>
      </c>
      <c r="B1" s="4"/>
      <c r="C1" s="4"/>
      <c r="D1" s="4"/>
      <c r="E1" s="4"/>
      <c r="F1" s="4"/>
      <c r="G1" s="4"/>
      <c r="H1" s="4"/>
      <c r="I1" s="4"/>
      <c r="J1" s="4"/>
      <c r="K1" s="4"/>
      <c r="L1" s="4"/>
      <c r="M1" s="4"/>
      <c r="N1" s="4"/>
      <c r="O1" s="4"/>
      <c r="P1" s="4"/>
      <c r="Q1" s="4"/>
      <c r="R1" s="4"/>
      <c r="S1" s="4"/>
      <c r="T1" s="4"/>
      <c r="U1" s="4"/>
      <c r="V1" s="4"/>
    </row>
    <row r="2" spans="1:28" ht="12.75" customHeight="1" thickBot="1" x14ac:dyDescent="0.25"/>
    <row r="3" spans="1:28" s="3" customFormat="1" ht="12.75" customHeight="1" thickBot="1" x14ac:dyDescent="0.25">
      <c r="B3" s="27" t="s">
        <v>6</v>
      </c>
      <c r="C3" s="1"/>
      <c r="D3" s="27" t="s">
        <v>5</v>
      </c>
      <c r="E3" s="1"/>
      <c r="F3" s="27" t="s">
        <v>4</v>
      </c>
      <c r="H3" s="262" t="s">
        <v>3</v>
      </c>
      <c r="I3" s="263"/>
      <c r="J3" s="263"/>
      <c r="K3" s="263"/>
      <c r="L3" s="263"/>
      <c r="M3" s="263"/>
      <c r="N3" s="263"/>
      <c r="O3" s="263"/>
      <c r="P3" s="264"/>
      <c r="R3" s="262" t="s">
        <v>2</v>
      </c>
      <c r="S3" s="263"/>
      <c r="T3" s="263"/>
      <c r="U3" s="263"/>
      <c r="V3" s="263"/>
      <c r="W3" s="263"/>
      <c r="X3" s="263"/>
      <c r="Y3" s="263"/>
      <c r="Z3" s="264"/>
      <c r="AB3" s="27" t="s">
        <v>149</v>
      </c>
    </row>
    <row r="4" spans="1:28" s="3" customFormat="1" ht="12.75" customHeight="1" thickBot="1" x14ac:dyDescent="0.25"/>
    <row r="5" spans="1:28" s="3" customFormat="1" ht="12.75" customHeight="1" x14ac:dyDescent="0.2">
      <c r="B5" s="10" t="s">
        <v>1</v>
      </c>
      <c r="D5" s="10" t="s">
        <v>1</v>
      </c>
      <c r="F5" s="10" t="s">
        <v>1</v>
      </c>
      <c r="H5" s="265" t="s">
        <v>0</v>
      </c>
      <c r="I5" s="265"/>
      <c r="J5" s="265"/>
      <c r="K5" s="265"/>
      <c r="L5" s="265"/>
      <c r="M5" s="265"/>
      <c r="N5" s="265"/>
      <c r="P5" s="10" t="s">
        <v>1</v>
      </c>
      <c r="R5" s="265" t="s">
        <v>45</v>
      </c>
      <c r="S5" s="265"/>
      <c r="T5" s="265"/>
      <c r="U5" s="265"/>
      <c r="V5" s="265"/>
      <c r="W5" s="265"/>
      <c r="X5" s="265"/>
      <c r="Z5" s="10" t="s">
        <v>1</v>
      </c>
      <c r="AB5" s="146" t="s">
        <v>150</v>
      </c>
    </row>
    <row r="6" spans="1:28" s="2" customFormat="1" ht="12.75" customHeight="1" x14ac:dyDescent="0.2">
      <c r="A6" s="5"/>
      <c r="B6" s="12">
        <v>40816</v>
      </c>
      <c r="D6" s="12">
        <v>41182</v>
      </c>
      <c r="F6" s="12">
        <v>41547</v>
      </c>
      <c r="H6" s="11">
        <v>41636</v>
      </c>
      <c r="J6" s="11">
        <v>41727</v>
      </c>
      <c r="L6" s="11">
        <v>41818</v>
      </c>
      <c r="N6" s="11">
        <v>41912</v>
      </c>
      <c r="P6" s="12">
        <v>41912</v>
      </c>
      <c r="R6" s="11">
        <v>42007</v>
      </c>
      <c r="S6" s="13"/>
      <c r="T6" s="11">
        <v>42098</v>
      </c>
      <c r="V6" s="11">
        <v>42189</v>
      </c>
      <c r="X6" s="11">
        <v>41912</v>
      </c>
      <c r="Z6" s="12">
        <v>41912</v>
      </c>
      <c r="AB6" s="11">
        <v>42371</v>
      </c>
    </row>
    <row r="7" spans="1:28" s="3" customFormat="1" ht="12.75" customHeight="1" x14ac:dyDescent="0.2">
      <c r="A7" s="14" t="s">
        <v>46</v>
      </c>
      <c r="B7" s="50"/>
      <c r="C7" s="31"/>
      <c r="D7" s="50"/>
      <c r="E7" s="31"/>
      <c r="F7" s="50"/>
      <c r="G7" s="31"/>
      <c r="H7" s="48"/>
      <c r="I7" s="31"/>
      <c r="J7" s="48"/>
      <c r="K7" s="31"/>
      <c r="L7" s="49"/>
      <c r="M7" s="31"/>
      <c r="N7" s="49"/>
      <c r="O7" s="31"/>
      <c r="P7" s="50"/>
      <c r="Q7" s="31"/>
      <c r="R7" s="48"/>
      <c r="S7" s="48"/>
      <c r="T7" s="49"/>
      <c r="U7" s="31"/>
      <c r="V7" s="49"/>
      <c r="W7" s="2"/>
      <c r="X7" s="49"/>
      <c r="Y7" s="31"/>
      <c r="Z7" s="50"/>
      <c r="AA7" s="2"/>
      <c r="AB7" s="48"/>
    </row>
    <row r="8" spans="1:28" s="3" customFormat="1" ht="12.75" customHeight="1" x14ac:dyDescent="0.2">
      <c r="A8" s="7" t="s">
        <v>47</v>
      </c>
      <c r="B8" s="51"/>
      <c r="C8" s="31"/>
      <c r="D8" s="51"/>
      <c r="E8" s="31"/>
      <c r="F8" s="51"/>
      <c r="G8" s="31"/>
      <c r="H8" s="48"/>
      <c r="I8" s="31"/>
      <c r="J8" s="48"/>
      <c r="K8" s="31"/>
      <c r="L8" s="49"/>
      <c r="M8" s="31"/>
      <c r="N8" s="157"/>
      <c r="O8" s="31"/>
      <c r="P8" s="51"/>
      <c r="Q8" s="31"/>
      <c r="R8" s="48"/>
      <c r="S8" s="48"/>
      <c r="T8" s="49"/>
      <c r="U8" s="31"/>
      <c r="V8" s="49"/>
      <c r="W8" s="2"/>
      <c r="X8" s="49"/>
      <c r="Y8" s="31"/>
      <c r="Z8" s="51"/>
      <c r="AA8" s="2"/>
      <c r="AB8" s="48"/>
    </row>
    <row r="9" spans="1:28" s="3" customFormat="1" ht="12.75" customHeight="1" x14ac:dyDescent="0.2">
      <c r="A9" s="15" t="s">
        <v>151</v>
      </c>
      <c r="B9" s="23">
        <v>0.115</v>
      </c>
      <c r="C9" s="31"/>
      <c r="D9" s="23">
        <v>0</v>
      </c>
      <c r="E9" s="31"/>
      <c r="F9" s="23">
        <v>10.074</v>
      </c>
      <c r="G9" s="31"/>
      <c r="H9" s="6">
        <v>3.6739999999999999</v>
      </c>
      <c r="I9" s="31"/>
      <c r="J9" s="6">
        <v>3.5920000000000001</v>
      </c>
      <c r="K9" s="31"/>
      <c r="L9" s="6">
        <v>7.3049999999999997</v>
      </c>
      <c r="M9" s="31"/>
      <c r="N9" s="6">
        <v>12.566000000000001</v>
      </c>
      <c r="O9" s="76"/>
      <c r="P9" s="23">
        <f>SUM(H9,J9,L9,N9)</f>
        <v>27.137</v>
      </c>
      <c r="Q9" s="31"/>
      <c r="R9" s="6">
        <v>14.223000000000001</v>
      </c>
      <c r="S9" s="76"/>
      <c r="T9" s="6">
        <v>15.765000000000001</v>
      </c>
      <c r="U9" s="76"/>
      <c r="V9" s="6">
        <v>17.155000000000001</v>
      </c>
      <c r="W9" s="76"/>
      <c r="X9" s="6">
        <v>18.096</v>
      </c>
      <c r="Y9" s="77"/>
      <c r="Z9" s="23">
        <f>SUM(R9,T9,V9,X9)+0.001</f>
        <v>65.240000000000009</v>
      </c>
      <c r="AA9" s="2"/>
      <c r="AB9" s="6">
        <v>22.175999999999998</v>
      </c>
    </row>
    <row r="10" spans="1:28" s="3" customFormat="1" ht="12.75" customHeight="1" x14ac:dyDescent="0.2">
      <c r="A10" s="16" t="s">
        <v>48</v>
      </c>
      <c r="B10" s="53">
        <v>557.678</v>
      </c>
      <c r="D10" s="53">
        <v>611.94299999999998</v>
      </c>
      <c r="F10" s="53">
        <v>654.678</v>
      </c>
      <c r="G10" s="36"/>
      <c r="H10" s="40">
        <v>170.142</v>
      </c>
      <c r="J10" s="40">
        <v>166.249</v>
      </c>
      <c r="L10" s="40">
        <v>172.02099999999999</v>
      </c>
      <c r="N10" s="40">
        <v>180.09</v>
      </c>
      <c r="P10" s="53">
        <f>SUM(H10,J10,L10,N10)</f>
        <v>688.50199999999995</v>
      </c>
      <c r="Q10" s="36"/>
      <c r="R10" s="40">
        <v>181.62899999999999</v>
      </c>
      <c r="T10" s="40">
        <v>168.727</v>
      </c>
      <c r="V10" s="40">
        <v>165.68700000000001</v>
      </c>
      <c r="X10" s="40">
        <v>165.482</v>
      </c>
      <c r="Z10" s="53">
        <f>SUM(R10,T10,V10,X10)-0.001</f>
        <v>681.524</v>
      </c>
      <c r="AB10" s="40">
        <v>171.756</v>
      </c>
    </row>
    <row r="11" spans="1:28" s="3" customFormat="1" ht="12.75" customHeight="1" x14ac:dyDescent="0.2">
      <c r="A11" s="54" t="s">
        <v>153</v>
      </c>
      <c r="B11" s="20">
        <f>SUM(B9:B10)</f>
        <v>557.79300000000001</v>
      </c>
      <c r="D11" s="20">
        <f>SUM(D9:D10)</f>
        <v>611.94299999999998</v>
      </c>
      <c r="F11" s="20">
        <f>SUM(F9:F10)</f>
        <v>664.75199999999995</v>
      </c>
      <c r="G11" s="36"/>
      <c r="H11" s="21">
        <f>SUM(H9:H10)</f>
        <v>173.816</v>
      </c>
      <c r="I11" s="6"/>
      <c r="J11" s="21">
        <f>SUM(J9:J10)</f>
        <v>169.84100000000001</v>
      </c>
      <c r="K11" s="6"/>
      <c r="L11" s="21">
        <f>SUM(L9:L10)</f>
        <v>179.32599999999999</v>
      </c>
      <c r="M11" s="6"/>
      <c r="N11" s="21">
        <f>SUM(N9:N10)</f>
        <v>192.65600000000001</v>
      </c>
      <c r="O11" s="6"/>
      <c r="P11" s="20">
        <f>SUM(P9:P10)</f>
        <v>715.6389999999999</v>
      </c>
      <c r="Q11" s="36"/>
      <c r="R11" s="21">
        <f>SUM(R9:R10)</f>
        <v>195.852</v>
      </c>
      <c r="S11" s="6"/>
      <c r="T11" s="21">
        <f>SUM(T9:T10)</f>
        <v>184.49200000000002</v>
      </c>
      <c r="U11" s="6"/>
      <c r="V11" s="21">
        <f>SUM(V9:V10)</f>
        <v>182.84200000000001</v>
      </c>
      <c r="W11" s="6"/>
      <c r="X11" s="21">
        <f>SUM(X9:X10)</f>
        <v>183.578</v>
      </c>
      <c r="Y11" s="6"/>
      <c r="Z11" s="20">
        <f t="shared" ref="Z11:Z14" si="0">SUM(R11,T11,V11,X11)</f>
        <v>746.76400000000001</v>
      </c>
      <c r="AA11" s="2"/>
      <c r="AB11" s="21">
        <f>SUM(AB9:AB10)</f>
        <v>193.93199999999999</v>
      </c>
    </row>
    <row r="12" spans="1:28" s="3" customFormat="1" ht="12.75" customHeight="1" x14ac:dyDescent="0.2">
      <c r="A12" s="16" t="s">
        <v>152</v>
      </c>
      <c r="B12" s="53">
        <v>342.00599999999997</v>
      </c>
      <c r="D12" s="53">
        <v>348.39399999999995</v>
      </c>
      <c r="F12" s="53">
        <v>344.209</v>
      </c>
      <c r="G12" s="36"/>
      <c r="H12" s="40">
        <v>79.191999999999993</v>
      </c>
      <c r="J12" s="40">
        <v>84.953000000000003</v>
      </c>
      <c r="L12" s="40">
        <v>90.397999999999996</v>
      </c>
      <c r="N12" s="40">
        <v>108.059</v>
      </c>
      <c r="P12" s="53">
        <f>SUM(H12,J12,L12,N12)</f>
        <v>362.60199999999998</v>
      </c>
      <c r="Q12" s="36"/>
      <c r="R12" s="40">
        <v>64.748000000000005</v>
      </c>
      <c r="T12" s="40">
        <v>70.186999999999998</v>
      </c>
      <c r="V12" s="40">
        <v>66.771000000000001</v>
      </c>
      <c r="X12" s="40">
        <v>81.052999999999997</v>
      </c>
      <c r="Z12" s="53">
        <f>SUM(R12,T12,V12,X12)</f>
        <v>282.75900000000001</v>
      </c>
      <c r="AB12" s="40">
        <v>47.762999999999998</v>
      </c>
    </row>
    <row r="13" spans="1:28" s="3" customFormat="1" ht="12.75" customHeight="1" x14ac:dyDescent="0.2">
      <c r="A13" s="54" t="s">
        <v>148</v>
      </c>
      <c r="B13" s="20">
        <f>SUM(B11:B12)</f>
        <v>899.79899999999998</v>
      </c>
      <c r="D13" s="20">
        <f>SUM(D11:D12)</f>
        <v>960.33699999999999</v>
      </c>
      <c r="F13" s="20">
        <f>SUM(F11:F12)</f>
        <v>1008.961</v>
      </c>
      <c r="H13" s="21">
        <f>SUM(H11:H12)</f>
        <v>253.00799999999998</v>
      </c>
      <c r="I13" s="6"/>
      <c r="J13" s="21">
        <f>SUM(J11:J12)</f>
        <v>254.79400000000001</v>
      </c>
      <c r="K13" s="6"/>
      <c r="L13" s="21">
        <f>SUM(L11:L12)</f>
        <v>269.72399999999999</v>
      </c>
      <c r="M13" s="6"/>
      <c r="N13" s="21">
        <f>SUM(N11:N12)</f>
        <v>300.71500000000003</v>
      </c>
      <c r="O13" s="6"/>
      <c r="P13" s="20">
        <f>SUM(P11:P12)</f>
        <v>1078.241</v>
      </c>
      <c r="R13" s="21">
        <f>SUM(R11:R12)</f>
        <v>260.60000000000002</v>
      </c>
      <c r="S13" s="6"/>
      <c r="T13" s="21">
        <f>SUM(T11:T12)</f>
        <v>254.67900000000003</v>
      </c>
      <c r="U13" s="6"/>
      <c r="V13" s="21">
        <f>SUM(V11:V12)</f>
        <v>249.613</v>
      </c>
      <c r="W13" s="6"/>
      <c r="X13" s="21">
        <f>SUM(X11:X12)</f>
        <v>264.63099999999997</v>
      </c>
      <c r="Y13" s="6"/>
      <c r="Z13" s="20">
        <f>SUM(Z11:Z12)</f>
        <v>1029.5230000000001</v>
      </c>
      <c r="AB13" s="21">
        <f>SUM(AB11:AB12)</f>
        <v>241.69499999999999</v>
      </c>
    </row>
    <row r="14" spans="1:28" s="3" customFormat="1" ht="12.75" customHeight="1" x14ac:dyDescent="0.2">
      <c r="A14" s="15" t="s">
        <v>49</v>
      </c>
      <c r="B14" s="53">
        <v>267.14999999999998</v>
      </c>
      <c r="C14" s="21"/>
      <c r="D14" s="53">
        <v>295.34199999999998</v>
      </c>
      <c r="E14" s="21"/>
      <c r="F14" s="53">
        <v>284.58000000000004</v>
      </c>
      <c r="G14" s="55"/>
      <c r="H14" s="40">
        <v>71.917000000000002</v>
      </c>
      <c r="I14" s="21"/>
      <c r="J14" s="40">
        <v>73.906000000000006</v>
      </c>
      <c r="K14" s="31"/>
      <c r="L14" s="41">
        <v>66.91</v>
      </c>
      <c r="M14" s="21"/>
      <c r="N14" s="41">
        <v>65.992999999999995</v>
      </c>
      <c r="O14" s="21"/>
      <c r="P14" s="53">
        <f>SUM(H14,J14,L14,N14)</f>
        <v>278.726</v>
      </c>
      <c r="Q14" s="55"/>
      <c r="R14" s="40">
        <v>64.841999999999999</v>
      </c>
      <c r="S14" s="21"/>
      <c r="T14" s="40">
        <v>59.44</v>
      </c>
      <c r="U14" s="31"/>
      <c r="V14" s="40">
        <v>53.5</v>
      </c>
      <c r="W14" s="21"/>
      <c r="X14" s="40">
        <v>47.936999999999998</v>
      </c>
      <c r="Y14" s="21"/>
      <c r="Z14" s="53">
        <f t="shared" si="0"/>
        <v>225.71899999999999</v>
      </c>
      <c r="AA14" s="2"/>
      <c r="AB14" s="40">
        <v>49.322000000000003</v>
      </c>
    </row>
    <row r="15" spans="1:28" s="3" customFormat="1" ht="12.75" customHeight="1" x14ac:dyDescent="0.2">
      <c r="A15" s="7" t="s">
        <v>8</v>
      </c>
      <c r="B15" s="53">
        <f>SUM(B13:B14)</f>
        <v>1166.9490000000001</v>
      </c>
      <c r="C15" s="21"/>
      <c r="D15" s="53">
        <f>SUM(D13:D14)</f>
        <v>1255.6790000000001</v>
      </c>
      <c r="E15" s="21"/>
      <c r="F15" s="53">
        <f>SUM(F13:F14)</f>
        <v>1293.5410000000002</v>
      </c>
      <c r="G15" s="21"/>
      <c r="H15" s="40">
        <f>SUM(H13:H14)</f>
        <v>324.92499999999995</v>
      </c>
      <c r="I15" s="6"/>
      <c r="J15" s="40">
        <f>SUM(J13:J14)</f>
        <v>328.70000000000005</v>
      </c>
      <c r="K15" s="52"/>
      <c r="L15" s="40">
        <f>SUM(L13:L14)</f>
        <v>336.63400000000001</v>
      </c>
      <c r="M15" s="6"/>
      <c r="N15" s="40">
        <f>SUM(N13:N14)</f>
        <v>366.70800000000003</v>
      </c>
      <c r="O15" s="6"/>
      <c r="P15" s="53">
        <f>SUM(P13:P14)</f>
        <v>1356.9670000000001</v>
      </c>
      <c r="Q15" s="21"/>
      <c r="R15" s="40">
        <f>SUM(R13:R14)</f>
        <v>325.44200000000001</v>
      </c>
      <c r="S15" s="6"/>
      <c r="T15" s="40">
        <f>SUM(T13:T14)</f>
        <v>314.11900000000003</v>
      </c>
      <c r="U15" s="52"/>
      <c r="V15" s="40">
        <f>SUM(V13:V14)</f>
        <v>303.113</v>
      </c>
      <c r="W15" s="6"/>
      <c r="X15" s="40">
        <f>SUM(X13:X14)</f>
        <v>312.56799999999998</v>
      </c>
      <c r="Y15" s="6"/>
      <c r="Z15" s="53">
        <f>SUM(Z13:Z14)</f>
        <v>1255.2420000000002</v>
      </c>
      <c r="AA15" s="2"/>
      <c r="AB15" s="40">
        <f>SUM(AB13:AB14)</f>
        <v>291.017</v>
      </c>
    </row>
    <row r="16" spans="1:28" s="3" customFormat="1" ht="12.75" customHeight="1" x14ac:dyDescent="0.2">
      <c r="A16" s="7" t="s">
        <v>50</v>
      </c>
      <c r="B16" s="20"/>
      <c r="D16" s="20"/>
      <c r="F16" s="20"/>
      <c r="G16" s="36"/>
      <c r="H16" s="21"/>
      <c r="J16" s="21"/>
      <c r="L16" s="21"/>
      <c r="N16" s="21"/>
      <c r="P16" s="20"/>
      <c r="Q16" s="36"/>
      <c r="R16" s="21"/>
      <c r="T16" s="21"/>
      <c r="V16" s="21"/>
      <c r="X16" s="21"/>
      <c r="Z16" s="20"/>
      <c r="AA16" s="8"/>
      <c r="AB16" s="21"/>
    </row>
    <row r="17" spans="1:28" s="3" customFormat="1" ht="12.75" customHeight="1" x14ac:dyDescent="0.2">
      <c r="A17" s="16" t="s">
        <v>154</v>
      </c>
      <c r="B17" s="20">
        <v>96.117999999999995</v>
      </c>
      <c r="C17" s="8"/>
      <c r="D17" s="20">
        <v>106.64499999999998</v>
      </c>
      <c r="E17" s="8"/>
      <c r="F17" s="20">
        <v>120.11799999999999</v>
      </c>
      <c r="G17" s="56"/>
      <c r="H17" s="19">
        <v>30.234999999999999</v>
      </c>
      <c r="I17" s="8"/>
      <c r="J17" s="19">
        <v>32.453000000000003</v>
      </c>
      <c r="K17" s="8"/>
      <c r="L17" s="19">
        <v>32.363999999999997</v>
      </c>
      <c r="M17" s="8"/>
      <c r="N17" s="19">
        <v>34.655000000000001</v>
      </c>
      <c r="O17" s="8"/>
      <c r="P17" s="20">
        <f>SUM(H17,J17,L17,N17)+0.001</f>
        <v>129.708</v>
      </c>
      <c r="Q17" s="56"/>
      <c r="R17" s="19">
        <v>34.725000000000001</v>
      </c>
      <c r="S17" s="8"/>
      <c r="T17" s="19">
        <v>34.518000000000001</v>
      </c>
      <c r="U17" s="8"/>
      <c r="V17" s="19">
        <v>33.282000000000004</v>
      </c>
      <c r="W17" s="8"/>
      <c r="X17" s="19">
        <v>33.466999999999999</v>
      </c>
      <c r="Y17" s="8"/>
      <c r="Z17" s="20">
        <f>SUM(R17,T17,V17,X17)</f>
        <v>135.99200000000002</v>
      </c>
      <c r="AB17" s="19">
        <v>36.814</v>
      </c>
    </row>
    <row r="18" spans="1:28" s="3" customFormat="1" ht="12.75" customHeight="1" x14ac:dyDescent="0.2">
      <c r="A18" s="15" t="s">
        <v>51</v>
      </c>
      <c r="B18" s="53">
        <v>260.64999999999998</v>
      </c>
      <c r="C18" s="21"/>
      <c r="D18" s="53">
        <v>265.483</v>
      </c>
      <c r="E18" s="21"/>
      <c r="F18" s="53">
        <v>252.92099999999999</v>
      </c>
      <c r="G18" s="55"/>
      <c r="H18" s="40">
        <v>62.720999999999997</v>
      </c>
      <c r="I18" s="21"/>
      <c r="J18" s="40">
        <v>61.344000000000001</v>
      </c>
      <c r="K18" s="31"/>
      <c r="L18" s="41">
        <v>58.712000000000003</v>
      </c>
      <c r="M18" s="21"/>
      <c r="N18" s="41">
        <v>61.198999999999998</v>
      </c>
      <c r="O18" s="21"/>
      <c r="P18" s="53">
        <f>SUM(H18,J18,L18,N18)-0.001</f>
        <v>243.97499999999999</v>
      </c>
      <c r="Q18" s="55"/>
      <c r="R18" s="40">
        <v>58.216999999999999</v>
      </c>
      <c r="S18" s="21"/>
      <c r="T18" s="40">
        <v>51.536000000000001</v>
      </c>
      <c r="U18" s="31"/>
      <c r="V18" s="40">
        <v>46.094000000000001</v>
      </c>
      <c r="W18" s="21"/>
      <c r="X18" s="40">
        <v>42.895000000000003</v>
      </c>
      <c r="Y18" s="21"/>
      <c r="Z18" s="53">
        <f>SUM(R18,T18,V18,X18)</f>
        <v>198.74200000000002</v>
      </c>
      <c r="AA18" s="2"/>
      <c r="AB18" s="40">
        <v>43.332999999999998</v>
      </c>
    </row>
    <row r="19" spans="1:28" s="3" customFormat="1" ht="12.75" customHeight="1" x14ac:dyDescent="0.2">
      <c r="A19" s="7" t="s">
        <v>52</v>
      </c>
      <c r="B19" s="59">
        <f>SUM(B17:B18)</f>
        <v>356.76799999999997</v>
      </c>
      <c r="D19" s="59">
        <f>SUM(D17:D18)</f>
        <v>372.12799999999999</v>
      </c>
      <c r="F19" s="59">
        <f>SUM(F17:F18)</f>
        <v>373.03899999999999</v>
      </c>
      <c r="H19" s="58">
        <f>SUM(H17:H18)</f>
        <v>92.955999999999989</v>
      </c>
      <c r="I19" s="21"/>
      <c r="J19" s="58">
        <f>SUM(J17:J18)</f>
        <v>93.796999999999997</v>
      </c>
      <c r="K19" s="21"/>
      <c r="L19" s="58">
        <f>SUM(L17:L18)</f>
        <v>91.075999999999993</v>
      </c>
      <c r="M19" s="21"/>
      <c r="N19" s="58">
        <f>SUM(N17:N18)</f>
        <v>95.853999999999999</v>
      </c>
      <c r="O19" s="21"/>
      <c r="P19" s="59">
        <f>SUM(H19,J19,L19,N19)</f>
        <v>373.68299999999994</v>
      </c>
      <c r="R19" s="58">
        <f>SUM(R17:R18)</f>
        <v>92.942000000000007</v>
      </c>
      <c r="S19" s="21"/>
      <c r="T19" s="58">
        <f>SUM(T17:T18)</f>
        <v>86.054000000000002</v>
      </c>
      <c r="U19" s="21"/>
      <c r="V19" s="58">
        <f>SUM(V17:V18)</f>
        <v>79.376000000000005</v>
      </c>
      <c r="W19" s="21"/>
      <c r="X19" s="58">
        <f>SUM(X17:X18)</f>
        <v>76.361999999999995</v>
      </c>
      <c r="Y19" s="21"/>
      <c r="Z19" s="59">
        <f>SUM(R19,T19,V19,X19)</f>
        <v>334.73400000000004</v>
      </c>
      <c r="AB19" s="58">
        <f>SUM(AB17:AB18)</f>
        <v>80.146999999999991</v>
      </c>
    </row>
    <row r="20" spans="1:28" s="3" customFormat="1" ht="12.75" customHeight="1" x14ac:dyDescent="0.2">
      <c r="A20" s="7" t="s">
        <v>53</v>
      </c>
      <c r="B20" s="20">
        <v>810.18100000000004</v>
      </c>
      <c r="D20" s="20">
        <v>883.55100000000016</v>
      </c>
      <c r="F20" s="20">
        <v>920.50200000000018</v>
      </c>
      <c r="G20" s="36">
        <f t="shared" ref="G20:V20" si="1">G15-G19</f>
        <v>0</v>
      </c>
      <c r="H20" s="21">
        <f t="shared" si="1"/>
        <v>231.96899999999997</v>
      </c>
      <c r="I20" s="3">
        <f t="shared" si="1"/>
        <v>0</v>
      </c>
      <c r="J20" s="21">
        <f t="shared" si="1"/>
        <v>234.90300000000005</v>
      </c>
      <c r="K20" s="3">
        <f t="shared" si="1"/>
        <v>0</v>
      </c>
      <c r="L20" s="21">
        <f t="shared" si="1"/>
        <v>245.55800000000002</v>
      </c>
      <c r="M20" s="3">
        <f t="shared" si="1"/>
        <v>0</v>
      </c>
      <c r="N20" s="21">
        <f t="shared" si="1"/>
        <v>270.85400000000004</v>
      </c>
      <c r="O20" s="3">
        <f t="shared" si="1"/>
        <v>0</v>
      </c>
      <c r="P20" s="20">
        <f t="shared" si="1"/>
        <v>983.28400000000011</v>
      </c>
      <c r="Q20" s="36">
        <f t="shared" si="1"/>
        <v>0</v>
      </c>
      <c r="R20" s="21">
        <f t="shared" si="1"/>
        <v>232.5</v>
      </c>
      <c r="S20" s="3">
        <f t="shared" si="1"/>
        <v>0</v>
      </c>
      <c r="T20" s="21">
        <f t="shared" si="1"/>
        <v>228.06500000000003</v>
      </c>
      <c r="U20" s="3">
        <f t="shared" si="1"/>
        <v>0</v>
      </c>
      <c r="V20" s="21">
        <f t="shared" si="1"/>
        <v>223.73699999999999</v>
      </c>
      <c r="X20" s="21">
        <f>X15-X19</f>
        <v>236.20599999999999</v>
      </c>
      <c r="Y20" s="3">
        <f>Y17-Y19</f>
        <v>0</v>
      </c>
      <c r="Z20" s="20">
        <f>SUM(R20,T20,V20,X20)</f>
        <v>920.50800000000004</v>
      </c>
      <c r="AB20" s="21">
        <f>AB15-AB19</f>
        <v>210.87</v>
      </c>
    </row>
    <row r="21" spans="1:28" s="3" customFormat="1" ht="12.75" customHeight="1" x14ac:dyDescent="0.2">
      <c r="A21" s="7" t="s">
        <v>54</v>
      </c>
      <c r="B21" s="20"/>
      <c r="D21" s="20"/>
      <c r="F21" s="20"/>
      <c r="G21" s="36"/>
      <c r="H21" s="21"/>
      <c r="J21" s="21"/>
      <c r="L21" s="21"/>
      <c r="N21" s="21"/>
      <c r="P21" s="20"/>
      <c r="Q21" s="36"/>
      <c r="R21" s="158"/>
      <c r="T21" s="21"/>
      <c r="V21" s="21"/>
      <c r="X21" s="21"/>
      <c r="Z21" s="20"/>
      <c r="AB21" s="21"/>
    </row>
    <row r="22" spans="1:28" s="3" customFormat="1" ht="12.75" customHeight="1" x14ac:dyDescent="0.2">
      <c r="A22" s="15" t="s">
        <v>55</v>
      </c>
      <c r="B22" s="20">
        <f>353.051+2.642</f>
        <v>355.69299999999998</v>
      </c>
      <c r="D22" s="20">
        <f>377.796+8.076</f>
        <v>385.87200000000001</v>
      </c>
      <c r="F22" s="20">
        <f>360.64+12.735</f>
        <v>373.375</v>
      </c>
      <c r="G22" s="36"/>
      <c r="H22" s="19">
        <f>84.238+3.097</f>
        <v>87.334999999999994</v>
      </c>
      <c r="J22" s="19">
        <f>85.934+2.788</f>
        <v>88.721999999999994</v>
      </c>
      <c r="L22" s="19">
        <f>91.44+2.15</f>
        <v>93.59</v>
      </c>
      <c r="N22" s="19">
        <f>95.835+1.972</f>
        <v>97.806999999999988</v>
      </c>
      <c r="P22" s="20">
        <f>SUM(H22,J22,L22,N22)</f>
        <v>367.45399999999995</v>
      </c>
      <c r="Q22" s="36"/>
      <c r="R22" s="19">
        <f>87.607+1.877</f>
        <v>89.483999999999995</v>
      </c>
      <c r="T22" s="19">
        <f>82.024+1.841</f>
        <v>83.864999999999995</v>
      </c>
      <c r="V22" s="19">
        <f>86.454+1.899</f>
        <v>88.352999999999994</v>
      </c>
      <c r="X22" s="19">
        <f>82.692+2.4</f>
        <v>85.091999999999999</v>
      </c>
      <c r="Z22" s="20">
        <f>SUM(R22,T22,V22,X22)</f>
        <v>346.79399999999998</v>
      </c>
      <c r="AB22" s="19">
        <v>82.429000000000002</v>
      </c>
    </row>
    <row r="23" spans="1:28" s="3" customFormat="1" ht="12.75" customHeight="1" x14ac:dyDescent="0.2">
      <c r="A23" s="15" t="s">
        <v>56</v>
      </c>
      <c r="B23" s="20">
        <v>211.40600000000001</v>
      </c>
      <c r="D23" s="20">
        <v>214.96</v>
      </c>
      <c r="F23" s="20">
        <v>221.91800000000001</v>
      </c>
      <c r="G23" s="36"/>
      <c r="H23" s="19">
        <v>53.073</v>
      </c>
      <c r="J23" s="19">
        <v>55.631</v>
      </c>
      <c r="L23" s="19">
        <v>57.405000000000001</v>
      </c>
      <c r="N23" s="19">
        <v>60.387</v>
      </c>
      <c r="P23" s="20">
        <f>SUM(H23,J23,L23,N23)</f>
        <v>226.49600000000001</v>
      </c>
      <c r="Q23" s="36"/>
      <c r="R23" s="19">
        <v>61.097000000000001</v>
      </c>
      <c r="T23" s="19">
        <v>60.158000000000001</v>
      </c>
      <c r="V23" s="19">
        <v>54.078000000000003</v>
      </c>
      <c r="X23" s="19">
        <v>52.18</v>
      </c>
      <c r="Z23" s="20">
        <f>SUM(R23,T23,V23,X23)</f>
        <v>227.51300000000001</v>
      </c>
      <c r="AB23" s="19">
        <v>57.668999999999997</v>
      </c>
    </row>
    <row r="24" spans="1:28" s="3" customFormat="1" ht="12.75" customHeight="1" x14ac:dyDescent="0.2">
      <c r="A24" s="15" t="s">
        <v>57</v>
      </c>
      <c r="B24" s="20">
        <f>110.291-2.642</f>
        <v>107.649</v>
      </c>
      <c r="D24" s="20">
        <f>117.468-8.076</f>
        <v>109.392</v>
      </c>
      <c r="F24" s="20">
        <f>131.937-12.735</f>
        <v>119.20200000000001</v>
      </c>
      <c r="G24" s="36"/>
      <c r="H24" s="19">
        <f>30.931-3.097</f>
        <v>27.834</v>
      </c>
      <c r="J24" s="19">
        <f>34.14-2.788</f>
        <v>31.352</v>
      </c>
      <c r="L24" s="19">
        <f>33.817-2.15</f>
        <v>31.667000000000002</v>
      </c>
      <c r="N24" s="19">
        <f>43.344-1.972</f>
        <v>41.372</v>
      </c>
      <c r="P24" s="20">
        <f>SUM(H24,J24,L24,N24)</f>
        <v>132.22500000000002</v>
      </c>
      <c r="Q24" s="36"/>
      <c r="R24" s="19">
        <f>37.007-1.877</f>
        <v>35.129999999999995</v>
      </c>
      <c r="T24" s="19">
        <f>34.235-1.841</f>
        <v>32.393999999999998</v>
      </c>
      <c r="V24" s="19">
        <f>48.1-1.899</f>
        <v>46.201000000000001</v>
      </c>
      <c r="X24" s="19">
        <f>113.722-2.4</f>
        <v>111.32199999999999</v>
      </c>
      <c r="Z24" s="20">
        <f>SUM(R24,T24,V24,X24)</f>
        <v>225.04699999999997</v>
      </c>
      <c r="AB24" s="19">
        <v>38.567</v>
      </c>
    </row>
    <row r="25" spans="1:28" s="3" customFormat="1" ht="12.75" customHeight="1" x14ac:dyDescent="0.2">
      <c r="A25" s="15" t="s">
        <v>58</v>
      </c>
      <c r="B25" s="20">
        <v>18.319000000000003</v>
      </c>
      <c r="D25" s="20">
        <v>20.302999999999997</v>
      </c>
      <c r="F25" s="20">
        <v>26.486000000000001</v>
      </c>
      <c r="G25" s="36"/>
      <c r="H25" s="57">
        <v>7.7889999999999997</v>
      </c>
      <c r="J25" s="57">
        <v>7.9850000000000003</v>
      </c>
      <c r="L25" s="57">
        <v>7.9980000000000002</v>
      </c>
      <c r="N25" s="57">
        <v>8.3550000000000004</v>
      </c>
      <c r="P25" s="20">
        <f>SUM(H25,J25,L25,N25)</f>
        <v>32.127000000000002</v>
      </c>
      <c r="Q25" s="36"/>
      <c r="R25" s="57">
        <v>9.4130000000000003</v>
      </c>
      <c r="T25" s="57">
        <v>9.173</v>
      </c>
      <c r="V25" s="57">
        <v>9.1050000000000004</v>
      </c>
      <c r="X25" s="57">
        <v>8.4380000000000006</v>
      </c>
      <c r="Z25" s="20">
        <f>SUM(R25,T25,V25,X25)</f>
        <v>36.128999999999998</v>
      </c>
      <c r="AB25" s="57">
        <v>8.35</v>
      </c>
    </row>
    <row r="26" spans="1:28" s="3" customFormat="1" ht="12.75" customHeight="1" x14ac:dyDescent="0.2">
      <c r="A26" s="15" t="s">
        <v>59</v>
      </c>
      <c r="B26" s="20">
        <v>0</v>
      </c>
      <c r="D26" s="20">
        <v>24.928000000000001</v>
      </c>
      <c r="F26" s="20">
        <v>52.196999999999996</v>
      </c>
      <c r="G26" s="36"/>
      <c r="H26" s="57">
        <v>1.0669999999999999</v>
      </c>
      <c r="J26" s="57">
        <v>0</v>
      </c>
      <c r="L26" s="57">
        <v>0.51400000000000001</v>
      </c>
      <c r="N26" s="57">
        <v>26.824999999999999</v>
      </c>
      <c r="P26" s="20">
        <f>SUM(H26,J26,L26,N26)</f>
        <v>28.405999999999999</v>
      </c>
      <c r="Q26" s="36"/>
      <c r="R26" s="57">
        <v>-0.255</v>
      </c>
      <c r="T26" s="57">
        <v>38.487000000000002</v>
      </c>
      <c r="V26" s="57">
        <v>4.3929999999999998</v>
      </c>
      <c r="X26" s="57">
        <v>0.78400000000000003</v>
      </c>
      <c r="Z26" s="20">
        <f>SUM(R26,T26,V26,X26)</f>
        <v>43.408999999999999</v>
      </c>
      <c r="AB26" s="57">
        <v>37.146999999999998</v>
      </c>
    </row>
    <row r="27" spans="1:28" s="3" customFormat="1" ht="12.75" customHeight="1" x14ac:dyDescent="0.2">
      <c r="A27" s="7" t="s">
        <v>60</v>
      </c>
      <c r="B27" s="59">
        <f t="shared" ref="B27:F27" si="2">SUM(B22:B26)</f>
        <v>693.06699999999989</v>
      </c>
      <c r="D27" s="59">
        <f t="shared" si="2"/>
        <v>755.45499999999993</v>
      </c>
      <c r="F27" s="59">
        <f t="shared" si="2"/>
        <v>793.178</v>
      </c>
      <c r="G27" s="36">
        <f t="shared" ref="G27:V27" si="3">SUM(G22:G26)</f>
        <v>0</v>
      </c>
      <c r="H27" s="58">
        <f t="shared" si="3"/>
        <v>177.09799999999998</v>
      </c>
      <c r="I27" s="3">
        <f t="shared" si="3"/>
        <v>0</v>
      </c>
      <c r="J27" s="58">
        <f t="shared" si="3"/>
        <v>183.69000000000003</v>
      </c>
      <c r="K27" s="3">
        <f t="shared" si="3"/>
        <v>0</v>
      </c>
      <c r="L27" s="58">
        <f t="shared" si="3"/>
        <v>191.17400000000001</v>
      </c>
      <c r="M27" s="3">
        <f t="shared" si="3"/>
        <v>0</v>
      </c>
      <c r="N27" s="58">
        <f t="shared" si="3"/>
        <v>234.74599999999995</v>
      </c>
      <c r="O27" s="3">
        <f t="shared" si="3"/>
        <v>0</v>
      </c>
      <c r="P27" s="59">
        <f t="shared" si="3"/>
        <v>786.70799999999986</v>
      </c>
      <c r="Q27" s="36">
        <f t="shared" si="3"/>
        <v>0</v>
      </c>
      <c r="R27" s="58">
        <f t="shared" si="3"/>
        <v>194.869</v>
      </c>
      <c r="S27" s="3">
        <f t="shared" si="3"/>
        <v>0</v>
      </c>
      <c r="T27" s="58">
        <f t="shared" si="3"/>
        <v>224.077</v>
      </c>
      <c r="U27" s="3">
        <f t="shared" si="3"/>
        <v>0</v>
      </c>
      <c r="V27" s="58">
        <f t="shared" si="3"/>
        <v>202.12999999999997</v>
      </c>
      <c r="X27" s="58">
        <f t="shared" ref="X27:Z27" si="4">SUM(X22:X26)</f>
        <v>257.81599999999997</v>
      </c>
      <c r="Y27" s="3">
        <f t="shared" si="4"/>
        <v>0</v>
      </c>
      <c r="Z27" s="59">
        <f t="shared" si="4"/>
        <v>878.89200000000005</v>
      </c>
      <c r="AB27" s="58">
        <f t="shared" ref="AB27" si="5">SUM(AB22:AB26)</f>
        <v>224.16200000000001</v>
      </c>
    </row>
    <row r="28" spans="1:28" s="3" customFormat="1" ht="12.75" customHeight="1" x14ac:dyDescent="0.2">
      <c r="A28" s="7" t="s">
        <v>61</v>
      </c>
      <c r="B28" s="20">
        <v>117.11400000000003</v>
      </c>
      <c r="D28" s="20">
        <v>128.09600000000012</v>
      </c>
      <c r="F28" s="20">
        <v>127.32400000000018</v>
      </c>
      <c r="G28" s="36">
        <f t="shared" ref="G28:V28" si="6">G20-G27</f>
        <v>0</v>
      </c>
      <c r="H28" s="21">
        <f t="shared" si="6"/>
        <v>54.870999999999981</v>
      </c>
      <c r="I28" s="3">
        <f t="shared" si="6"/>
        <v>0</v>
      </c>
      <c r="J28" s="21">
        <f t="shared" si="6"/>
        <v>51.213000000000022</v>
      </c>
      <c r="K28" s="3">
        <f t="shared" si="6"/>
        <v>0</v>
      </c>
      <c r="L28" s="21">
        <f t="shared" si="6"/>
        <v>54.384000000000015</v>
      </c>
      <c r="M28" s="3">
        <f t="shared" si="6"/>
        <v>0</v>
      </c>
      <c r="N28" s="21">
        <f t="shared" si="6"/>
        <v>36.108000000000089</v>
      </c>
      <c r="O28" s="3">
        <f t="shared" si="6"/>
        <v>0</v>
      </c>
      <c r="P28" s="20">
        <f t="shared" si="6"/>
        <v>196.57600000000025</v>
      </c>
      <c r="Q28" s="36">
        <f t="shared" si="6"/>
        <v>0</v>
      </c>
      <c r="R28" s="21">
        <f t="shared" si="6"/>
        <v>37.631</v>
      </c>
      <c r="S28" s="3">
        <f t="shared" si="6"/>
        <v>0</v>
      </c>
      <c r="T28" s="21">
        <f t="shared" si="6"/>
        <v>3.988000000000028</v>
      </c>
      <c r="U28" s="3">
        <f t="shared" si="6"/>
        <v>0</v>
      </c>
      <c r="V28" s="21">
        <f t="shared" si="6"/>
        <v>21.607000000000028</v>
      </c>
      <c r="X28" s="21">
        <f t="shared" ref="X28:Z28" si="7">X20-X27</f>
        <v>-21.609999999999985</v>
      </c>
      <c r="Y28" s="3">
        <f t="shared" si="7"/>
        <v>0</v>
      </c>
      <c r="Z28" s="20">
        <f t="shared" si="7"/>
        <v>41.615999999999985</v>
      </c>
      <c r="AB28" s="21">
        <f t="shared" ref="AB28" si="8">AB20-AB27</f>
        <v>-13.292000000000002</v>
      </c>
    </row>
    <row r="29" spans="1:28" s="3" customFormat="1" ht="12.75" customHeight="1" x14ac:dyDescent="0.2">
      <c r="A29" s="7" t="s">
        <v>62</v>
      </c>
      <c r="B29" s="53">
        <v>-12.565999999999999</v>
      </c>
      <c r="D29" s="53">
        <v>-7.3599999999999994</v>
      </c>
      <c r="F29" s="53">
        <v>-1.0899999999999996</v>
      </c>
      <c r="G29" s="36"/>
      <c r="H29" s="40">
        <v>-1.7529999999999999</v>
      </c>
      <c r="J29" s="40">
        <v>-2.6920000000000002</v>
      </c>
      <c r="L29" s="40">
        <v>-2.278</v>
      </c>
      <c r="N29" s="40">
        <v>-3.74</v>
      </c>
      <c r="P29" s="53">
        <f>SUM(H29,J29,L29,N29)-0.001</f>
        <v>-10.464</v>
      </c>
      <c r="Q29" s="36"/>
      <c r="R29" s="40">
        <v>-3.2240000000000002</v>
      </c>
      <c r="T29" s="40">
        <v>-3.601</v>
      </c>
      <c r="V29" s="40">
        <v>-3.6680000000000001</v>
      </c>
      <c r="X29" s="40">
        <v>-4.5979999999999999</v>
      </c>
      <c r="Z29" s="53">
        <f>SUM(R29,T29,V29,X29)</f>
        <v>-15.091000000000001</v>
      </c>
      <c r="AB29" s="40">
        <v>-6.2530000000000001</v>
      </c>
    </row>
    <row r="30" spans="1:28" s="3" customFormat="1" ht="12.75" customHeight="1" x14ac:dyDescent="0.2">
      <c r="A30" s="7" t="s">
        <v>63</v>
      </c>
      <c r="B30" s="20">
        <f>SUM(B28:B29)</f>
        <v>104.54800000000003</v>
      </c>
      <c r="D30" s="20">
        <f>SUM(D28:D29)</f>
        <v>120.73600000000012</v>
      </c>
      <c r="F30" s="20">
        <f>SUM(F28:F29)</f>
        <v>126.23400000000018</v>
      </c>
      <c r="G30" s="36"/>
      <c r="H30" s="19">
        <f>SUM(H28:H29)</f>
        <v>53.117999999999981</v>
      </c>
      <c r="J30" s="19">
        <f>SUM(J28:J29)</f>
        <v>48.521000000000022</v>
      </c>
      <c r="L30" s="19">
        <f>SUM(L28:L29)</f>
        <v>52.106000000000016</v>
      </c>
      <c r="N30" s="19">
        <f>SUM(N28:N29)</f>
        <v>32.368000000000087</v>
      </c>
      <c r="P30" s="20">
        <f>SUM(P28:P29)</f>
        <v>186.11200000000025</v>
      </c>
      <c r="Q30" s="36"/>
      <c r="R30" s="19">
        <f>SUM(R28:R29)</f>
        <v>34.406999999999996</v>
      </c>
      <c r="T30" s="19">
        <f>SUM(T28:T29)</f>
        <v>0.38700000000002799</v>
      </c>
      <c r="V30" s="19">
        <f>SUM(V28:V29)</f>
        <v>17.939000000000028</v>
      </c>
      <c r="X30" s="19">
        <f>SUM(X28:X29)</f>
        <v>-26.207999999999984</v>
      </c>
      <c r="Z30" s="20">
        <f>SUM(Z28:Z29)</f>
        <v>26.524999999999984</v>
      </c>
      <c r="AB30" s="19">
        <f>SUM(AB28:AB29)</f>
        <v>-19.545000000000002</v>
      </c>
    </row>
    <row r="31" spans="1:28" s="3" customFormat="1" ht="12.75" customHeight="1" x14ac:dyDescent="0.2">
      <c r="A31" s="7" t="s">
        <v>64</v>
      </c>
      <c r="B31" s="20">
        <v>19.123999999999999</v>
      </c>
      <c r="D31" s="20">
        <v>156.13400000000001</v>
      </c>
      <c r="F31" s="20">
        <v>-17.535</v>
      </c>
      <c r="G31" s="36"/>
      <c r="H31" s="21">
        <v>13.461</v>
      </c>
      <c r="J31" s="21">
        <v>4.7649999999999997</v>
      </c>
      <c r="L31" s="21">
        <v>14.08</v>
      </c>
      <c r="N31" s="21">
        <v>-6.3869999999999996</v>
      </c>
      <c r="P31" s="20">
        <f>SUM(H31,J31,L31,N31)-0.001</f>
        <v>25.917999999999996</v>
      </c>
      <c r="Q31" s="36"/>
      <c r="R31" s="21">
        <v>4.1230000000000002</v>
      </c>
      <c r="T31" s="21">
        <v>-5.0049999999999999</v>
      </c>
      <c r="V31" s="21">
        <v>0.504</v>
      </c>
      <c r="X31" s="21">
        <v>-20.655000000000001</v>
      </c>
      <c r="Z31" s="20">
        <f>SUM(R31,T31,V31,X31)+0.001</f>
        <v>-21.032</v>
      </c>
      <c r="AB31" s="21">
        <v>4.3470000000000004</v>
      </c>
    </row>
    <row r="32" spans="1:28" s="3" customFormat="1" ht="12.75" customHeight="1" thickBot="1" x14ac:dyDescent="0.25">
      <c r="A32" s="42" t="s">
        <v>65</v>
      </c>
      <c r="B32" s="160">
        <f>+B30-B31</f>
        <v>85.424000000000035</v>
      </c>
      <c r="D32" s="160">
        <f>+D30-D31</f>
        <v>-35.397999999999897</v>
      </c>
      <c r="F32" s="60">
        <f>+F30-F31</f>
        <v>143.76900000000018</v>
      </c>
      <c r="G32" s="36"/>
      <c r="H32" s="43">
        <f>+H30-H31</f>
        <v>39.656999999999982</v>
      </c>
      <c r="I32" s="21"/>
      <c r="J32" s="43">
        <f>+J30-J31</f>
        <v>43.756000000000022</v>
      </c>
      <c r="K32" s="21"/>
      <c r="L32" s="43">
        <f>+L30-L31</f>
        <v>38.026000000000018</v>
      </c>
      <c r="M32" s="21"/>
      <c r="N32" s="43">
        <f>+N30-N31</f>
        <v>38.755000000000088</v>
      </c>
      <c r="O32" s="21"/>
      <c r="P32" s="60">
        <f>+P30-P31</f>
        <v>160.19400000000024</v>
      </c>
      <c r="Q32" s="36"/>
      <c r="R32" s="43">
        <f>+R30-R31</f>
        <v>30.283999999999995</v>
      </c>
      <c r="S32" s="21"/>
      <c r="T32" s="43">
        <f>+T30-T31</f>
        <v>5.3920000000000279</v>
      </c>
      <c r="U32" s="21"/>
      <c r="V32" s="43">
        <f>+V30-V31</f>
        <v>17.435000000000027</v>
      </c>
      <c r="W32" s="21"/>
      <c r="X32" s="43">
        <f>+X30-X31</f>
        <v>-5.5529999999999831</v>
      </c>
      <c r="Y32" s="21"/>
      <c r="Z32" s="60">
        <f>+Z30-Z31</f>
        <v>47.556999999999988</v>
      </c>
      <c r="AB32" s="43">
        <f>+AB30-AB31</f>
        <v>-23.892000000000003</v>
      </c>
    </row>
    <row r="33" spans="1:28" s="3" customFormat="1" ht="12.75" customHeight="1" thickTop="1" x14ac:dyDescent="0.35">
      <c r="A33" s="7"/>
      <c r="B33" s="62"/>
      <c r="D33" s="62"/>
      <c r="F33" s="159"/>
      <c r="H33" s="61"/>
      <c r="J33" s="61"/>
      <c r="L33" s="61"/>
      <c r="N33" s="61"/>
      <c r="P33" s="62"/>
      <c r="R33" s="61"/>
      <c r="T33" s="61"/>
      <c r="V33" s="61"/>
      <c r="X33" s="61"/>
      <c r="Z33" s="62"/>
      <c r="AA33" s="8"/>
      <c r="AB33" s="61"/>
    </row>
    <row r="34" spans="1:28" s="3" customFormat="1" ht="12.75" customHeight="1" x14ac:dyDescent="0.2">
      <c r="A34" s="54" t="s">
        <v>66</v>
      </c>
      <c r="B34" s="65">
        <f>ROUND(B32/B36,2)</f>
        <v>0.73</v>
      </c>
      <c r="C34" s="8"/>
      <c r="D34" s="65">
        <f>ROUND(D32/D36,2)</f>
        <v>-0.3</v>
      </c>
      <c r="E34" s="8"/>
      <c r="F34" s="65">
        <f>ROUND(F32/F36,2)</f>
        <v>1.2</v>
      </c>
      <c r="G34" s="8"/>
      <c r="H34" s="63">
        <f>ROUND(H32/H36,2)</f>
        <v>0.33</v>
      </c>
      <c r="I34" s="8"/>
      <c r="J34" s="63">
        <f>ROUND(J32/J36,2)</f>
        <v>0.37</v>
      </c>
      <c r="K34" s="8"/>
      <c r="L34" s="63">
        <f>ROUND(L32/L36,2)</f>
        <v>0.32</v>
      </c>
      <c r="M34" s="8"/>
      <c r="N34" s="63">
        <f>ROUND(N32/N36,2)</f>
        <v>0.33</v>
      </c>
      <c r="O34" s="8"/>
      <c r="P34" s="65">
        <f>ROUND(P32/P36,2)</f>
        <v>1.36</v>
      </c>
      <c r="Q34" s="8"/>
      <c r="R34" s="63">
        <f>ROUND(R32/R36,2)</f>
        <v>0.26</v>
      </c>
      <c r="S34" s="8"/>
      <c r="T34" s="63">
        <f>ROUND(T32/T36,2)</f>
        <v>0.05</v>
      </c>
      <c r="U34" s="8"/>
      <c r="V34" s="63">
        <f>ROUND(V32/V36,2)</f>
        <v>0.15</v>
      </c>
      <c r="W34" s="8"/>
      <c r="X34" s="63">
        <f>ROUND(X32/X36,2)</f>
        <v>-0.05</v>
      </c>
      <c r="Y34" s="8"/>
      <c r="Z34" s="65">
        <f>ROUND(Z32/Z36,2)</f>
        <v>0.41</v>
      </c>
      <c r="AA34" s="8"/>
      <c r="AB34" s="63">
        <f>ROUND(AB32/AB36,2)</f>
        <v>-0.21</v>
      </c>
    </row>
    <row r="35" spans="1:28" s="3" customFormat="1" ht="12.75" customHeight="1" x14ac:dyDescent="0.2">
      <c r="A35" s="54" t="s">
        <v>67</v>
      </c>
      <c r="B35" s="65">
        <f>ROUND(B32/B37,2)</f>
        <v>0.71</v>
      </c>
      <c r="C35" s="8"/>
      <c r="D35" s="65">
        <f>ROUND(D32/D37,2)</f>
        <v>-0.3</v>
      </c>
      <c r="E35" s="8"/>
      <c r="F35" s="65">
        <f>ROUND(F32/F37,2)</f>
        <v>1.19</v>
      </c>
      <c r="G35" s="8"/>
      <c r="H35" s="63">
        <f>ROUND(H32/H37,2)</f>
        <v>0.33</v>
      </c>
      <c r="I35" s="8"/>
      <c r="J35" s="63">
        <f>ROUND(J32/J37,2)</f>
        <v>0.36</v>
      </c>
      <c r="K35" s="8"/>
      <c r="L35" s="63">
        <f>ROUND(L32/L37,2)</f>
        <v>0.32</v>
      </c>
      <c r="M35" s="8"/>
      <c r="N35" s="63">
        <f>ROUND(N32/N37,2)</f>
        <v>0.33</v>
      </c>
      <c r="O35" s="8"/>
      <c r="P35" s="65">
        <f>ROUND(P32/P37,2)</f>
        <v>1.34</v>
      </c>
      <c r="Q35" s="8"/>
      <c r="R35" s="63">
        <f>ROUND(R32/R37,2)</f>
        <v>0.26</v>
      </c>
      <c r="S35" s="8"/>
      <c r="T35" s="63">
        <f>ROUND(T32/T37,2)</f>
        <v>0.05</v>
      </c>
      <c r="U35" s="8"/>
      <c r="V35" s="63">
        <f>ROUND(V32/V37,2)</f>
        <v>0.15</v>
      </c>
      <c r="W35" s="8"/>
      <c r="X35" s="63">
        <f>ROUND(X32/X37,2)</f>
        <v>-0.05</v>
      </c>
      <c r="Y35" s="8"/>
      <c r="Z35" s="65">
        <f>ROUND(Z32/Z37,2)</f>
        <v>0.41</v>
      </c>
      <c r="AA35" s="8"/>
      <c r="AB35" s="63">
        <f>ROUND(AB32/AB37,2)</f>
        <v>-0.21</v>
      </c>
    </row>
    <row r="36" spans="1:28" s="3" customFormat="1" ht="12.75" customHeight="1" x14ac:dyDescent="0.2">
      <c r="A36" s="66" t="s">
        <v>68</v>
      </c>
      <c r="B36" s="20">
        <v>117.57899999999999</v>
      </c>
      <c r="C36" s="8"/>
      <c r="D36" s="20">
        <v>118.705</v>
      </c>
      <c r="E36" s="8"/>
      <c r="F36" s="20">
        <v>119.473</v>
      </c>
      <c r="G36" s="8"/>
      <c r="H36" s="19">
        <v>118.93300000000001</v>
      </c>
      <c r="I36" s="8"/>
      <c r="J36" s="19">
        <v>118.97799999999999</v>
      </c>
      <c r="K36" s="8"/>
      <c r="L36" s="19">
        <v>118.328</v>
      </c>
      <c r="M36" s="8"/>
      <c r="N36" s="19">
        <v>116.173</v>
      </c>
      <c r="O36" s="8"/>
      <c r="P36" s="20">
        <v>118.09399999999999</v>
      </c>
      <c r="Q36" s="8"/>
      <c r="R36" s="19">
        <v>115.34099999999999</v>
      </c>
      <c r="S36" s="8"/>
      <c r="T36" s="19">
        <v>114.944</v>
      </c>
      <c r="U36" s="8"/>
      <c r="V36" s="19">
        <v>114.764</v>
      </c>
      <c r="W36" s="8"/>
      <c r="X36" s="19">
        <v>113.99</v>
      </c>
      <c r="Y36" s="8"/>
      <c r="Z36" s="20">
        <v>114.77500000000001</v>
      </c>
      <c r="AA36" s="8"/>
      <c r="AB36" s="19">
        <v>114.151</v>
      </c>
    </row>
    <row r="37" spans="1:28" s="3" customFormat="1" ht="12.75" customHeight="1" x14ac:dyDescent="0.2">
      <c r="A37" s="66" t="s">
        <v>69</v>
      </c>
      <c r="B37" s="20">
        <v>120.974</v>
      </c>
      <c r="C37" s="8"/>
      <c r="D37" s="20">
        <v>118.705</v>
      </c>
      <c r="E37" s="8"/>
      <c r="F37" s="20">
        <v>121.24</v>
      </c>
      <c r="G37" s="8"/>
      <c r="H37" s="19">
        <v>121.1</v>
      </c>
      <c r="I37" s="8"/>
      <c r="J37" s="19">
        <v>120.69799999999999</v>
      </c>
      <c r="K37" s="8"/>
      <c r="L37" s="19">
        <v>119.901</v>
      </c>
      <c r="M37" s="8"/>
      <c r="N37" s="19">
        <v>118.27500000000001</v>
      </c>
      <c r="O37" s="8"/>
      <c r="P37" s="20">
        <v>119.98399999999999</v>
      </c>
      <c r="Q37" s="8"/>
      <c r="R37" s="19">
        <v>117.027</v>
      </c>
      <c r="S37" s="8"/>
      <c r="T37" s="19">
        <v>115.922</v>
      </c>
      <c r="U37" s="8"/>
      <c r="V37" s="19">
        <v>116.02500000000001</v>
      </c>
      <c r="W37" s="8"/>
      <c r="X37" s="19">
        <v>115.02500000000001</v>
      </c>
      <c r="Y37" s="8"/>
      <c r="Z37" s="20">
        <v>116.012</v>
      </c>
      <c r="AB37" s="19">
        <v>114.151</v>
      </c>
    </row>
    <row r="38" spans="1:28" s="3" customFormat="1" ht="12.75" customHeight="1" x14ac:dyDescent="0.2">
      <c r="A38" s="7"/>
      <c r="B38" s="67"/>
      <c r="D38" s="67"/>
      <c r="F38" s="67"/>
      <c r="H38" s="8"/>
      <c r="J38" s="8"/>
      <c r="L38" s="8"/>
      <c r="N38" s="8"/>
      <c r="P38" s="67"/>
      <c r="R38" s="8"/>
      <c r="S38" s="8"/>
      <c r="T38" s="8"/>
      <c r="V38" s="8"/>
      <c r="X38" s="8"/>
      <c r="Z38" s="67"/>
      <c r="AB38" s="8"/>
    </row>
    <row r="39" spans="1:28" s="3" customFormat="1" ht="12.75" customHeight="1" x14ac:dyDescent="0.2">
      <c r="A39" s="7"/>
      <c r="B39" s="67"/>
      <c r="D39" s="67"/>
      <c r="F39" s="67"/>
      <c r="H39" s="8"/>
      <c r="J39" s="8"/>
      <c r="L39" s="8"/>
      <c r="N39" s="8"/>
      <c r="P39" s="67"/>
      <c r="R39" s="8"/>
      <c r="S39" s="8"/>
      <c r="T39" s="8"/>
      <c r="V39" s="8"/>
      <c r="X39" s="8"/>
      <c r="Z39" s="67"/>
      <c r="AB39" s="8"/>
    </row>
    <row r="40" spans="1:28" s="3" customFormat="1" ht="12.75" customHeight="1" x14ac:dyDescent="0.2">
      <c r="A40" s="7"/>
      <c r="B40" s="67"/>
      <c r="D40" s="67"/>
      <c r="F40" s="67"/>
      <c r="P40" s="67"/>
      <c r="Z40" s="67"/>
    </row>
    <row r="41" spans="1:28" s="3" customFormat="1" ht="12.75" customHeight="1" x14ac:dyDescent="0.2">
      <c r="A41" s="68" t="s">
        <v>70</v>
      </c>
      <c r="B41" s="70">
        <f>B20/B15</f>
        <v>0.6942728431148234</v>
      </c>
      <c r="D41" s="70">
        <f>D20/D15</f>
        <v>0.70364400455848997</v>
      </c>
      <c r="F41" s="70">
        <f>F20/F15</f>
        <v>0.71161408876873644</v>
      </c>
      <c r="H41" s="69">
        <f>H20/H15</f>
        <v>0.71391551896591521</v>
      </c>
      <c r="J41" s="69">
        <f>J20/J15</f>
        <v>0.71464253118345</v>
      </c>
      <c r="L41" s="69">
        <f>L20/L15</f>
        <v>0.72945097643137657</v>
      </c>
      <c r="M41" s="69"/>
      <c r="N41" s="69">
        <f>N20/N15</f>
        <v>0.73860946584203246</v>
      </c>
      <c r="P41" s="70">
        <f>P20/P15</f>
        <v>0.72461894799210302</v>
      </c>
      <c r="R41" s="69">
        <f>R20/R15</f>
        <v>0.71441301368600241</v>
      </c>
      <c r="T41" s="69">
        <f>T20/T15</f>
        <v>0.72604649830159906</v>
      </c>
      <c r="V41" s="69">
        <f>V20/V15</f>
        <v>0.73813066414175565</v>
      </c>
      <c r="W41" s="69"/>
      <c r="X41" s="69">
        <f>X20/X15</f>
        <v>0.75569476082004561</v>
      </c>
      <c r="Z41" s="70">
        <f>Z20/Z15</f>
        <v>0.73333110268776847</v>
      </c>
      <c r="AA41" s="71"/>
      <c r="AB41" s="69">
        <f>AB20/AB15</f>
        <v>0.72459684485786058</v>
      </c>
    </row>
    <row r="42" spans="1:28" s="3" customFormat="1" ht="12.75" customHeight="1" x14ac:dyDescent="0.2">
      <c r="A42" s="72" t="s">
        <v>71</v>
      </c>
      <c r="B42" s="70">
        <f>(B13-B17)/B13</f>
        <v>0.89317836539049278</v>
      </c>
      <c r="D42" s="70">
        <f>(D13-D17)/D13</f>
        <v>0.88895044135548251</v>
      </c>
      <c r="F42" s="70">
        <f>(F13-F17)/F13</f>
        <v>0.88094881764508248</v>
      </c>
      <c r="H42" s="69">
        <f>(H13-H17)/H13</f>
        <v>0.88049784987035973</v>
      </c>
      <c r="J42" s="69">
        <f>(J13-J17)/J13</f>
        <v>0.87263043870734791</v>
      </c>
      <c r="L42" s="69">
        <f>(L13-L17)/L13</f>
        <v>0.88001067758152773</v>
      </c>
      <c r="M42" s="69"/>
      <c r="N42" s="69">
        <f>(N13-N17)/N13</f>
        <v>0.88475799344894679</v>
      </c>
      <c r="P42" s="70">
        <f>(P13-P17)/P13</f>
        <v>0.87970407357909786</v>
      </c>
      <c r="R42" s="69">
        <f>(R13-R17)/R13</f>
        <v>0.86674980813507296</v>
      </c>
      <c r="T42" s="69">
        <f>(T13-T17)/T13</f>
        <v>0.86446467906658975</v>
      </c>
      <c r="V42" s="69">
        <f>(V13-V17)/V13</f>
        <v>0.86666559834623991</v>
      </c>
      <c r="W42" s="69"/>
      <c r="X42" s="69">
        <f>(X13-X17)/X13</f>
        <v>0.8735333350967952</v>
      </c>
      <c r="Z42" s="70">
        <f>(Z13-Z17)/Z13</f>
        <v>0.86790775922441754</v>
      </c>
      <c r="AA42" s="71"/>
      <c r="AB42" s="69">
        <f>(AB13-AB17)/AB13</f>
        <v>0.84768406462690582</v>
      </c>
    </row>
    <row r="43" spans="1:28" s="3" customFormat="1" ht="12.75" customHeight="1" x14ac:dyDescent="0.2">
      <c r="A43" s="72" t="s">
        <v>72</v>
      </c>
      <c r="B43" s="70">
        <f>(B14-B18)/B14</f>
        <v>2.4330900243309004E-2</v>
      </c>
      <c r="D43" s="70">
        <f>(D14-D18)/D14</f>
        <v>0.1010997419940272</v>
      </c>
      <c r="F43" s="70">
        <f>(F14-F18)/F14</f>
        <v>0.11124815517604907</v>
      </c>
      <c r="H43" s="69">
        <f>(H14-H18)/H14</f>
        <v>0.12786962748724232</v>
      </c>
      <c r="J43" s="69">
        <f>(J14-J18)/J14</f>
        <v>0.16997266798365496</v>
      </c>
      <c r="L43" s="69">
        <f>(L14-L18)/L14</f>
        <v>0.1225227918098938</v>
      </c>
      <c r="M43" s="69"/>
      <c r="N43" s="69">
        <f>(N14-N18)/N14</f>
        <v>7.2644068310275298E-2</v>
      </c>
      <c r="P43" s="70">
        <f>(P14-P18)/P14</f>
        <v>0.12467799918199236</v>
      </c>
      <c r="R43" s="69">
        <f>(R14-R18)/R14</f>
        <v>0.10217143209648068</v>
      </c>
      <c r="T43" s="69">
        <f>(T14-T18)/T14</f>
        <v>0.13297442799461637</v>
      </c>
      <c r="V43" s="69">
        <f>(V14-V18)/V14</f>
        <v>0.13842990654205606</v>
      </c>
      <c r="W43" s="69"/>
      <c r="X43" s="69">
        <f>(X14-X18)/X14</f>
        <v>0.10517971504266005</v>
      </c>
      <c r="Z43" s="70">
        <f>(Z14-Z18)/Z14</f>
        <v>0.11951585821308786</v>
      </c>
      <c r="AA43" s="71"/>
      <c r="AB43" s="69">
        <f>(AB14-AB18)/AB14</f>
        <v>0.12142654393576911</v>
      </c>
    </row>
    <row r="44" spans="1:28" s="3" customFormat="1" ht="12.75" customHeight="1" x14ac:dyDescent="0.2">
      <c r="A44" s="68" t="s">
        <v>73</v>
      </c>
      <c r="B44" s="70">
        <f>B28/B15</f>
        <v>0.10035914165914708</v>
      </c>
      <c r="C44" s="73"/>
      <c r="D44" s="70">
        <f>D28/D15</f>
        <v>0.1020133330253991</v>
      </c>
      <c r="E44" s="73"/>
      <c r="F44" s="70">
        <f>F28/F15</f>
        <v>9.8430587047492246E-2</v>
      </c>
      <c r="G44" s="73"/>
      <c r="H44" s="73">
        <f>H28/H15</f>
        <v>0.16887281680387778</v>
      </c>
      <c r="I44" s="73"/>
      <c r="J44" s="73">
        <f>J28/J15</f>
        <v>0.15580468512321269</v>
      </c>
      <c r="K44" s="73"/>
      <c r="L44" s="73">
        <f>L28/L15</f>
        <v>0.16155230903592629</v>
      </c>
      <c r="M44" s="73"/>
      <c r="N44" s="73">
        <f>N28/N15</f>
        <v>9.8465263915704287E-2</v>
      </c>
      <c r="O44" s="73"/>
      <c r="P44" s="70">
        <f>P28/P15</f>
        <v>0.14486424504059439</v>
      </c>
      <c r="Q44" s="73"/>
      <c r="R44" s="73">
        <f>R28/R15</f>
        <v>0.11563043491620627</v>
      </c>
      <c r="S44" s="73"/>
      <c r="T44" s="73">
        <f>T28/T15</f>
        <v>1.2695825467418487E-2</v>
      </c>
      <c r="U44" s="73"/>
      <c r="V44" s="73">
        <f>V28/V15</f>
        <v>7.1283646692817615E-2</v>
      </c>
      <c r="W44" s="73"/>
      <c r="X44" s="73">
        <f>X28/X15</f>
        <v>-6.913695579841822E-2</v>
      </c>
      <c r="Y44" s="73"/>
      <c r="Z44" s="70">
        <f>Z28/Z15</f>
        <v>3.3153766365370166E-2</v>
      </c>
      <c r="AA44" s="71"/>
      <c r="AB44" s="73">
        <f>AB28/AB15</f>
        <v>-4.5674307686492548E-2</v>
      </c>
    </row>
    <row r="45" spans="1:28" s="3" customFormat="1" ht="12.75" customHeight="1" x14ac:dyDescent="0.2">
      <c r="A45" s="72" t="s">
        <v>74</v>
      </c>
      <c r="B45" s="70">
        <f>B22/B15</f>
        <v>0.30480595124551285</v>
      </c>
      <c r="D45" s="70">
        <f>D22/D15</f>
        <v>0.30730146797071545</v>
      </c>
      <c r="F45" s="70">
        <f>F22/F15</f>
        <v>0.2886456633380774</v>
      </c>
      <c r="H45" s="73">
        <f>H22/H15</f>
        <v>0.26878510425482804</v>
      </c>
      <c r="I45" s="8"/>
      <c r="J45" s="73">
        <f>J22/J15</f>
        <v>0.26991785822938846</v>
      </c>
      <c r="K45" s="8"/>
      <c r="L45" s="73">
        <f>L22/L15</f>
        <v>0.27801707492410155</v>
      </c>
      <c r="M45" s="8"/>
      <c r="N45" s="73">
        <f>N22/N15</f>
        <v>0.26671629743556174</v>
      </c>
      <c r="O45" s="8"/>
      <c r="P45" s="70">
        <f>P22/P15</f>
        <v>0.27079066771704835</v>
      </c>
      <c r="R45" s="73">
        <f>R22/R15</f>
        <v>0.27496143706098164</v>
      </c>
      <c r="S45" s="8"/>
      <c r="T45" s="73">
        <f>T22/T15</f>
        <v>0.26698480512162587</v>
      </c>
      <c r="U45" s="8"/>
      <c r="V45" s="73">
        <f>V22/V15</f>
        <v>0.29148535364698974</v>
      </c>
      <c r="W45" s="8"/>
      <c r="X45" s="73">
        <f>X22/X15</f>
        <v>0.2722351616288296</v>
      </c>
      <c r="Y45" s="8"/>
      <c r="Z45" s="70">
        <f>Z22/Z15</f>
        <v>0.27627660642330321</v>
      </c>
      <c r="AA45" s="71"/>
      <c r="AB45" s="73">
        <f>AB22/AB15</f>
        <v>0.28324462144823154</v>
      </c>
    </row>
    <row r="46" spans="1:28" s="3" customFormat="1" ht="12.75" customHeight="1" x14ac:dyDescent="0.2">
      <c r="A46" s="72" t="s">
        <v>75</v>
      </c>
      <c r="B46" s="70">
        <f>B23/B15</f>
        <v>0.18116130182210191</v>
      </c>
      <c r="D46" s="70">
        <f>D23/D15</f>
        <v>0.17119024846318207</v>
      </c>
      <c r="F46" s="70">
        <f>F23/F15</f>
        <v>0.17155853583303504</v>
      </c>
      <c r="H46" s="73">
        <f>H23/H15</f>
        <v>0.16333923213049167</v>
      </c>
      <c r="I46" s="8"/>
      <c r="J46" s="73">
        <f>J23/J15</f>
        <v>0.16924551262549434</v>
      </c>
      <c r="K46" s="8"/>
      <c r="L46" s="73">
        <f>L23/L15</f>
        <v>0.17052644712061171</v>
      </c>
      <c r="M46" s="8"/>
      <c r="N46" s="73">
        <f>N23/N15</f>
        <v>0.16467325501488922</v>
      </c>
      <c r="O46" s="8"/>
      <c r="P46" s="70">
        <f>P23/P15</f>
        <v>0.16691341793868236</v>
      </c>
      <c r="R46" s="73">
        <f>R23/R15</f>
        <v>0.18773544902010189</v>
      </c>
      <c r="S46" s="8"/>
      <c r="T46" s="73">
        <f>T23/T15</f>
        <v>0.19151340733925676</v>
      </c>
      <c r="U46" s="8"/>
      <c r="V46" s="73">
        <f>V23/V15</f>
        <v>0.17840871226242361</v>
      </c>
      <c r="W46" s="8"/>
      <c r="X46" s="73">
        <f>X23/X15</f>
        <v>0.1669396739269535</v>
      </c>
      <c r="Y46" s="8"/>
      <c r="Z46" s="70">
        <f>Z23/Z15</f>
        <v>0.18125030870541295</v>
      </c>
      <c r="AA46" s="71"/>
      <c r="AB46" s="73">
        <f>AB23/AB15</f>
        <v>0.19816368115951988</v>
      </c>
    </row>
    <row r="47" spans="1:28" s="3" customFormat="1" ht="12.75" customHeight="1" x14ac:dyDescent="0.2">
      <c r="A47" s="72" t="s">
        <v>76</v>
      </c>
      <c r="B47" s="70">
        <f>B24/B15</f>
        <v>9.2248247352712073E-2</v>
      </c>
      <c r="D47" s="70">
        <f>D24/D15</f>
        <v>8.7117806382045082E-2</v>
      </c>
      <c r="F47" s="70">
        <f>F24/F15</f>
        <v>9.2151698322666231E-2</v>
      </c>
      <c r="H47" s="73">
        <f>H24/H15</f>
        <v>8.5662845271985852E-2</v>
      </c>
      <c r="I47" s="8"/>
      <c r="J47" s="73">
        <f>J24/J15</f>
        <v>9.5381807118953443E-2</v>
      </c>
      <c r="K47" s="8"/>
      <c r="L47" s="73">
        <f>L24/L15</f>
        <v>9.4069523577535244E-2</v>
      </c>
      <c r="M47" s="8"/>
      <c r="N47" s="73">
        <f>N24/N15</f>
        <v>0.1128200093807607</v>
      </c>
      <c r="O47" s="8"/>
      <c r="P47" s="70">
        <f>P24/P15</f>
        <v>9.7441573744976862E-2</v>
      </c>
      <c r="R47" s="73">
        <f>R24/R15</f>
        <v>0.10794550180984629</v>
      </c>
      <c r="S47" s="8"/>
      <c r="T47" s="73">
        <f>T24/T15</f>
        <v>0.10312652211423058</v>
      </c>
      <c r="U47" s="8"/>
      <c r="V47" s="73">
        <f>V24/V15</f>
        <v>0.1524217041169465</v>
      </c>
      <c r="W47" s="8"/>
      <c r="X47" s="73">
        <f>X24/X15</f>
        <v>0.35615290112871439</v>
      </c>
      <c r="Y47" s="8"/>
      <c r="Z47" s="70">
        <f>Z24/Z15</f>
        <v>0.17928574729016392</v>
      </c>
      <c r="AA47" s="71"/>
      <c r="AB47" s="73">
        <f>AB24/AB15</f>
        <v>0.13252490404340639</v>
      </c>
    </row>
    <row r="48" spans="1:28" s="3" customFormat="1" ht="12.75" customHeight="1" x14ac:dyDescent="0.2">
      <c r="A48" s="68" t="s">
        <v>77</v>
      </c>
      <c r="B48" s="70">
        <f>B31/B30</f>
        <v>0.1829207636683628</v>
      </c>
      <c r="C48" s="73"/>
      <c r="D48" s="70">
        <f>D31/D30</f>
        <v>1.2931851311953342</v>
      </c>
      <c r="E48" s="73"/>
      <c r="F48" s="70">
        <f>F31/F30</f>
        <v>-0.13890869337896269</v>
      </c>
      <c r="G48" s="73"/>
      <c r="H48" s="73">
        <f>H31/H30</f>
        <v>0.25341692081780198</v>
      </c>
      <c r="I48" s="73"/>
      <c r="J48" s="73">
        <f>J31/J30</f>
        <v>9.820490097071366E-2</v>
      </c>
      <c r="K48" s="73"/>
      <c r="L48" s="73">
        <f>L31/L30</f>
        <v>0.27021840095190564</v>
      </c>
      <c r="M48" s="73"/>
      <c r="N48" s="73">
        <f>N31/N30</f>
        <v>-0.19732451804251058</v>
      </c>
      <c r="O48" s="73"/>
      <c r="P48" s="70">
        <f>P31/P30</f>
        <v>0.13926023039889937</v>
      </c>
      <c r="Q48" s="73"/>
      <c r="R48" s="73">
        <f>R31/R30</f>
        <v>0.11983026709681172</v>
      </c>
      <c r="S48" s="73"/>
      <c r="T48" s="73">
        <f>T31/T30</f>
        <v>-12.932816537466765</v>
      </c>
      <c r="U48" s="73"/>
      <c r="V48" s="73">
        <f>V31/V30</f>
        <v>2.8095211550253595E-2</v>
      </c>
      <c r="W48" s="73"/>
      <c r="X48" s="73">
        <f>X31/X30</f>
        <v>0.7881181318681324</v>
      </c>
      <c r="Y48" s="73"/>
      <c r="Z48" s="70">
        <f>Z31/Z30</f>
        <v>-0.79291234684260181</v>
      </c>
      <c r="AA48" s="71"/>
      <c r="AB48" s="73">
        <f>AB31/AB30</f>
        <v>-0.22240982348426708</v>
      </c>
    </row>
    <row r="49" spans="1:26" s="3" customFormat="1" ht="12.75" customHeight="1" thickBot="1" x14ac:dyDescent="0.25">
      <c r="A49" s="7"/>
      <c r="B49" s="74"/>
      <c r="D49" s="74"/>
      <c r="F49" s="74"/>
      <c r="P49" s="74"/>
      <c r="R49" s="75"/>
      <c r="Z49" s="74"/>
    </row>
    <row r="50" spans="1:26" s="3" customFormat="1" ht="12.75" customHeight="1" x14ac:dyDescent="0.2"/>
    <row r="51" spans="1:26" s="3" customFormat="1" ht="12.75" customHeight="1" x14ac:dyDescent="0.2"/>
    <row r="52" spans="1:26" s="3" customFormat="1" ht="12.75" customHeight="1" x14ac:dyDescent="0.2"/>
    <row r="53" spans="1:26" s="3" customFormat="1" ht="12.75" customHeight="1" x14ac:dyDescent="0.2"/>
    <row r="54" spans="1:26" s="3" customFormat="1" ht="12.75" customHeight="1" x14ac:dyDescent="0.2"/>
    <row r="55" spans="1:26" s="3" customFormat="1" ht="12.75" customHeight="1" x14ac:dyDescent="0.2"/>
    <row r="56" spans="1:26" s="3" customFormat="1" ht="12.75" customHeight="1" x14ac:dyDescent="0.2"/>
    <row r="57" spans="1:26" s="3" customFormat="1" ht="12.75" customHeight="1" x14ac:dyDescent="0.2"/>
    <row r="58" spans="1:26" s="3" customFormat="1" ht="12.75" customHeight="1" x14ac:dyDescent="0.2"/>
    <row r="59" spans="1:26" s="3" customFormat="1" ht="12.75" customHeight="1" x14ac:dyDescent="0.2"/>
    <row r="60" spans="1:26" s="3" customFormat="1" ht="12.75" customHeight="1" x14ac:dyDescent="0.2"/>
    <row r="61" spans="1:26" s="3" customFormat="1" ht="12.75" customHeight="1" x14ac:dyDescent="0.2"/>
    <row r="62" spans="1:26" s="3" customFormat="1" ht="12.75" customHeight="1" x14ac:dyDescent="0.2"/>
    <row r="63" spans="1:26" s="3" customFormat="1" ht="12.75" customHeight="1" x14ac:dyDescent="0.2"/>
    <row r="64" spans="1:26" s="3" customFormat="1" ht="12.75" customHeight="1" x14ac:dyDescent="0.2"/>
    <row r="65" s="3" customFormat="1" ht="12.75" customHeight="1" x14ac:dyDescent="0.2"/>
    <row r="66" s="3" customFormat="1" ht="12.75" customHeight="1" x14ac:dyDescent="0.2"/>
    <row r="67" s="3" customFormat="1" ht="12.75" customHeight="1" x14ac:dyDescent="0.2"/>
    <row r="68" s="3" customFormat="1" ht="12.75" customHeight="1" x14ac:dyDescent="0.2"/>
    <row r="69" s="3" customFormat="1" ht="12.75" customHeight="1" x14ac:dyDescent="0.2"/>
    <row r="70" s="3" customFormat="1" ht="12.75" customHeight="1" x14ac:dyDescent="0.2"/>
    <row r="71" s="3" customFormat="1" ht="12.75" customHeight="1" x14ac:dyDescent="0.2"/>
    <row r="72" s="3" customFormat="1" ht="12.75" customHeight="1" x14ac:dyDescent="0.2"/>
    <row r="73" s="3" customFormat="1" ht="12.75" customHeight="1" x14ac:dyDescent="0.2"/>
    <row r="74" s="3" customFormat="1" ht="12.75" customHeight="1" x14ac:dyDescent="0.2"/>
    <row r="75" s="3" customFormat="1" ht="12.75" customHeight="1" x14ac:dyDescent="0.2"/>
    <row r="76" s="3" customFormat="1" ht="12.75" customHeight="1" x14ac:dyDescent="0.2"/>
    <row r="77" s="3" customFormat="1" ht="12.75" customHeight="1" x14ac:dyDescent="0.2"/>
    <row r="78" s="3" customFormat="1" ht="12.75" customHeight="1" x14ac:dyDescent="0.2"/>
    <row r="79" s="3" customFormat="1" ht="12.75" customHeight="1" x14ac:dyDescent="0.2"/>
    <row r="80" s="3" customFormat="1" ht="12.75" customHeight="1" x14ac:dyDescent="0.2"/>
    <row r="81" s="3" customFormat="1" ht="12.75" customHeight="1" x14ac:dyDescent="0.2"/>
    <row r="82" s="3" customFormat="1" ht="12.75" customHeight="1" x14ac:dyDescent="0.2"/>
    <row r="83" s="3" customFormat="1" ht="12.75" customHeight="1" x14ac:dyDescent="0.2"/>
    <row r="84" s="3" customFormat="1" ht="12.75" customHeight="1" x14ac:dyDescent="0.2"/>
    <row r="85" s="3" customFormat="1" ht="12.75" customHeight="1" x14ac:dyDescent="0.2"/>
    <row r="86" s="3" customFormat="1" ht="12.75" customHeight="1" x14ac:dyDescent="0.2"/>
    <row r="87" s="3" customFormat="1" ht="12.75" customHeight="1" x14ac:dyDescent="0.2"/>
    <row r="88" s="3" customFormat="1" ht="12.75" customHeight="1" x14ac:dyDescent="0.2"/>
    <row r="89" s="3" customFormat="1" ht="12.75" customHeight="1" x14ac:dyDescent="0.2"/>
    <row r="90" s="3" customFormat="1" ht="12.75" customHeight="1" x14ac:dyDescent="0.2"/>
    <row r="91" s="3" customFormat="1" ht="12.75" customHeight="1" x14ac:dyDescent="0.2"/>
    <row r="92" s="3" customFormat="1" ht="12.75" customHeight="1" x14ac:dyDescent="0.2"/>
    <row r="93" s="3" customFormat="1" x14ac:dyDescent="0.2"/>
    <row r="94" s="3" customFormat="1" x14ac:dyDescent="0.2"/>
    <row r="95" s="3" customFormat="1" x14ac:dyDescent="0.2"/>
    <row r="96" s="3" customFormat="1" x14ac:dyDescent="0.2"/>
    <row r="97" s="3" customFormat="1" x14ac:dyDescent="0.2"/>
  </sheetData>
  <mergeCells count="4">
    <mergeCell ref="R3:Z3"/>
    <mergeCell ref="H5:N5"/>
    <mergeCell ref="R5:X5"/>
    <mergeCell ref="H3:P3"/>
  </mergeCells>
  <printOptions horizontalCentered="1"/>
  <pageMargins left="0.7" right="0.7" top="1" bottom="0.75" header="0.3" footer="0.3"/>
  <pageSetup paperSize="3" scale="96" orientation="landscape" r:id="rId1"/>
  <headerFooter alignWithMargins="0">
    <oddHeader>&amp;L&amp;G</oddHeader>
    <oddFooter>&amp;C&amp;8PTC Investor Relations
Tel: (781) 370 6359</oddFooter>
  </headerFooter>
  <ignoredErrors>
    <ignoredError sqref="P11:P14 P18 P30 Z13:Z14" formula="1"/>
  </ignoredError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C97"/>
  <sheetViews>
    <sheetView zoomScale="85" zoomScaleNormal="85" workbookViewId="0">
      <pane xSplit="1" ySplit="6" topLeftCell="B7" activePane="bottomRight" state="frozen"/>
      <selection activeCell="AB20" sqref="AB20"/>
      <selection pane="topRight" activeCell="AB20" sqref="AB20"/>
      <selection pane="bottomLeft" activeCell="AB20" sqref="AB20"/>
      <selection pane="bottomRight" activeCell="AB50" sqref="AB50"/>
    </sheetView>
  </sheetViews>
  <sheetFormatPr defaultColWidth="9.140625" defaultRowHeight="12.75" x14ac:dyDescent="0.2"/>
  <cols>
    <col min="1" max="1" width="46.28515625" style="1" bestFit="1" customWidth="1"/>
    <col min="2" max="2" width="11.7109375" style="1" customWidth="1"/>
    <col min="3" max="3" width="1.140625" style="1" customWidth="1"/>
    <col min="4" max="4" width="11.7109375" style="1" customWidth="1"/>
    <col min="5" max="5" width="1.140625" style="1" customWidth="1"/>
    <col min="6" max="6" width="11.7109375" style="1" customWidth="1"/>
    <col min="7" max="7" width="1.140625" style="1" customWidth="1"/>
    <col min="8" max="8" width="9.85546875" style="1" customWidth="1"/>
    <col min="9" max="9" width="1.140625" style="1" customWidth="1"/>
    <col min="10" max="10" width="10" style="1" customWidth="1"/>
    <col min="11" max="11" width="1.140625" style="1" customWidth="1"/>
    <col min="12" max="12" width="9.85546875" style="1" customWidth="1"/>
    <col min="13" max="13" width="1.140625" style="1" customWidth="1"/>
    <col min="14" max="14" width="9.85546875" style="1" customWidth="1"/>
    <col min="15" max="15" width="1.140625" style="1" customWidth="1"/>
    <col min="16" max="16" width="11.7109375" style="1" customWidth="1"/>
    <col min="17" max="17" width="1.140625" style="1" customWidth="1"/>
    <col min="18" max="18" width="9.85546875" style="1" bestFit="1" customWidth="1"/>
    <col min="19" max="19" width="1.140625" style="1" customWidth="1"/>
    <col min="20" max="20" width="9.7109375" style="1" bestFit="1" customWidth="1"/>
    <col min="21" max="21" width="1.140625" style="1" customWidth="1"/>
    <col min="22" max="22" width="9.85546875" style="1" customWidth="1"/>
    <col min="23" max="23" width="1.140625" style="1" customWidth="1"/>
    <col min="24" max="24" width="9.7109375" style="1" bestFit="1" customWidth="1"/>
    <col min="25" max="25" width="1.140625" style="1" customWidth="1"/>
    <col min="26" max="26" width="11.7109375" style="1" customWidth="1"/>
    <col min="27" max="27" width="1" style="1" customWidth="1"/>
    <col min="28" max="16384" width="9.140625" style="1"/>
  </cols>
  <sheetData>
    <row r="1" spans="1:28" ht="12.75" customHeight="1" x14ac:dyDescent="0.2">
      <c r="A1" s="17" t="s">
        <v>78</v>
      </c>
      <c r="B1" s="4"/>
      <c r="C1" s="4"/>
      <c r="D1" s="4"/>
      <c r="E1" s="4"/>
      <c r="F1" s="4"/>
      <c r="G1" s="4"/>
      <c r="H1" s="4"/>
      <c r="I1" s="4"/>
      <c r="J1" s="4"/>
      <c r="K1" s="4"/>
      <c r="L1" s="4"/>
      <c r="M1" s="4"/>
      <c r="N1" s="4"/>
      <c r="O1" s="4"/>
      <c r="P1" s="4"/>
      <c r="Q1" s="4"/>
      <c r="R1" s="4"/>
      <c r="S1" s="4"/>
      <c r="T1" s="4"/>
      <c r="U1" s="4"/>
      <c r="V1" s="4"/>
    </row>
    <row r="2" spans="1:28" ht="12.75" customHeight="1" thickBot="1" x14ac:dyDescent="0.25"/>
    <row r="3" spans="1:28" s="3" customFormat="1" ht="12.75" customHeight="1" thickBot="1" x14ac:dyDescent="0.25">
      <c r="B3" s="27" t="s">
        <v>6</v>
      </c>
      <c r="C3" s="1"/>
      <c r="D3" s="27" t="s">
        <v>5</v>
      </c>
      <c r="E3" s="1"/>
      <c r="F3" s="27" t="s">
        <v>4</v>
      </c>
      <c r="H3" s="262" t="s">
        <v>3</v>
      </c>
      <c r="I3" s="263"/>
      <c r="J3" s="263"/>
      <c r="K3" s="263"/>
      <c r="L3" s="263"/>
      <c r="M3" s="263"/>
      <c r="N3" s="263"/>
      <c r="O3" s="263"/>
      <c r="P3" s="264"/>
      <c r="R3" s="262" t="s">
        <v>2</v>
      </c>
      <c r="S3" s="263"/>
      <c r="T3" s="263"/>
      <c r="U3" s="263"/>
      <c r="V3" s="263"/>
      <c r="W3" s="263"/>
      <c r="X3" s="263"/>
      <c r="Y3" s="263"/>
      <c r="Z3" s="264"/>
      <c r="AB3" s="27" t="s">
        <v>149</v>
      </c>
    </row>
    <row r="4" spans="1:28" s="3" customFormat="1" ht="12.75" customHeight="1" thickBot="1" x14ac:dyDescent="0.25"/>
    <row r="5" spans="1:28" s="3" customFormat="1" ht="12.75" customHeight="1" x14ac:dyDescent="0.2">
      <c r="B5" s="10" t="s">
        <v>1</v>
      </c>
      <c r="D5" s="10" t="s">
        <v>1</v>
      </c>
      <c r="F5" s="10" t="s">
        <v>1</v>
      </c>
      <c r="H5" s="265" t="s">
        <v>0</v>
      </c>
      <c r="I5" s="265"/>
      <c r="J5" s="265"/>
      <c r="K5" s="265"/>
      <c r="L5" s="265"/>
      <c r="M5" s="265"/>
      <c r="N5" s="265"/>
      <c r="P5" s="10" t="s">
        <v>1</v>
      </c>
      <c r="R5" s="265" t="s">
        <v>45</v>
      </c>
      <c r="S5" s="265"/>
      <c r="T5" s="265"/>
      <c r="U5" s="265"/>
      <c r="V5" s="265"/>
      <c r="W5" s="265"/>
      <c r="X5" s="265"/>
      <c r="Z5" s="10" t="s">
        <v>1</v>
      </c>
      <c r="AB5" s="146" t="s">
        <v>150</v>
      </c>
    </row>
    <row r="6" spans="1:28" s="2" customFormat="1" ht="12.75" customHeight="1" x14ac:dyDescent="0.2">
      <c r="A6" s="5"/>
      <c r="B6" s="12">
        <v>40816</v>
      </c>
      <c r="D6" s="12">
        <v>41182</v>
      </c>
      <c r="F6" s="12">
        <v>41547</v>
      </c>
      <c r="H6" s="11">
        <v>41636</v>
      </c>
      <c r="J6" s="11">
        <v>41727</v>
      </c>
      <c r="L6" s="11">
        <v>41818</v>
      </c>
      <c r="N6" s="11">
        <v>41912</v>
      </c>
      <c r="P6" s="12">
        <v>41912</v>
      </c>
      <c r="R6" s="11">
        <v>42007</v>
      </c>
      <c r="S6" s="13"/>
      <c r="T6" s="11">
        <v>42098</v>
      </c>
      <c r="V6" s="11">
        <v>42189</v>
      </c>
      <c r="X6" s="11">
        <v>41912</v>
      </c>
      <c r="Z6" s="12">
        <v>41912</v>
      </c>
      <c r="AB6" s="11">
        <v>42371</v>
      </c>
    </row>
    <row r="7" spans="1:28" s="3" customFormat="1" ht="12.75" customHeight="1" x14ac:dyDescent="0.2">
      <c r="A7" s="14" t="s">
        <v>46</v>
      </c>
      <c r="B7" s="50"/>
      <c r="C7" s="31"/>
      <c r="D7" s="50"/>
      <c r="E7" s="31"/>
      <c r="F7" s="50"/>
      <c r="G7" s="31"/>
      <c r="H7" s="48"/>
      <c r="I7" s="31"/>
      <c r="J7" s="48"/>
      <c r="K7" s="31"/>
      <c r="L7" s="49"/>
      <c r="M7" s="31"/>
      <c r="N7" s="49"/>
      <c r="O7" s="31"/>
      <c r="P7" s="50"/>
      <c r="Q7" s="31"/>
      <c r="R7" s="48"/>
      <c r="S7" s="48"/>
      <c r="T7" s="49"/>
      <c r="U7" s="31"/>
      <c r="V7" s="49"/>
      <c r="W7" s="2"/>
      <c r="X7" s="49"/>
      <c r="Y7" s="31"/>
      <c r="Z7" s="50"/>
      <c r="AA7" s="2"/>
      <c r="AB7" s="48"/>
    </row>
    <row r="8" spans="1:28" s="3" customFormat="1" ht="12.75" customHeight="1" x14ac:dyDescent="0.2">
      <c r="A8" s="7" t="s">
        <v>47</v>
      </c>
      <c r="B8" s="51"/>
      <c r="C8" s="31"/>
      <c r="D8" s="51"/>
      <c r="E8" s="31"/>
      <c r="F8" s="51"/>
      <c r="G8" s="31"/>
      <c r="H8" s="48"/>
      <c r="I8" s="31"/>
      <c r="J8" s="48"/>
      <c r="K8" s="31"/>
      <c r="L8" s="49"/>
      <c r="M8" s="31"/>
      <c r="N8" s="49"/>
      <c r="O8" s="31"/>
      <c r="P8" s="51"/>
      <c r="Q8" s="31"/>
      <c r="R8" s="48"/>
      <c r="S8" s="48"/>
      <c r="T8" s="49"/>
      <c r="U8" s="31"/>
      <c r="V8" s="49"/>
      <c r="W8" s="2"/>
      <c r="X8" s="49"/>
      <c r="Y8" s="31"/>
      <c r="Z8" s="51"/>
      <c r="AA8" s="2"/>
      <c r="AB8" s="48"/>
    </row>
    <row r="9" spans="1:28" s="3" customFormat="1" ht="12.75" customHeight="1" x14ac:dyDescent="0.2">
      <c r="A9" s="15" t="s">
        <v>151</v>
      </c>
      <c r="B9" s="23">
        <v>0.115</v>
      </c>
      <c r="C9" s="31"/>
      <c r="D9" s="23">
        <v>0</v>
      </c>
      <c r="E9" s="31"/>
      <c r="F9" s="23">
        <v>10.074</v>
      </c>
      <c r="G9" s="31"/>
      <c r="H9" s="6">
        <v>3.6739999999999999</v>
      </c>
      <c r="I9" s="31"/>
      <c r="J9" s="6">
        <v>3.5920000000000001</v>
      </c>
      <c r="K9" s="31"/>
      <c r="L9" s="6">
        <v>7.3049999999999997</v>
      </c>
      <c r="M9" s="31"/>
      <c r="N9" s="6">
        <v>13.036</v>
      </c>
      <c r="O9" s="76"/>
      <c r="P9" s="23">
        <f>SUM(H9,J9,L9,N9)</f>
        <v>27.606999999999999</v>
      </c>
      <c r="Q9" s="31"/>
      <c r="R9" s="6">
        <v>14.904999999999999</v>
      </c>
      <c r="S9" s="31"/>
      <c r="T9" s="6">
        <v>16.355</v>
      </c>
      <c r="U9" s="31"/>
      <c r="V9" s="6">
        <v>17.507000000000001</v>
      </c>
      <c r="W9" s="31"/>
      <c r="X9" s="6">
        <v>18.303000000000001</v>
      </c>
      <c r="Y9" s="77"/>
      <c r="Z9" s="23">
        <f>SUM(R9,T9,V9,X9)</f>
        <v>67.069999999999993</v>
      </c>
      <c r="AA9" s="2"/>
      <c r="AB9" s="6">
        <v>22.364000000000001</v>
      </c>
    </row>
    <row r="10" spans="1:28" s="3" customFormat="1" ht="12.75" customHeight="1" x14ac:dyDescent="0.2">
      <c r="A10" s="16" t="s">
        <v>48</v>
      </c>
      <c r="B10" s="53">
        <v>560.28400000000011</v>
      </c>
      <c r="D10" s="53">
        <v>614.42800000000011</v>
      </c>
      <c r="F10" s="53">
        <v>657.71199999999999</v>
      </c>
      <c r="H10" s="40">
        <v>170.142</v>
      </c>
      <c r="J10" s="40">
        <v>166.249</v>
      </c>
      <c r="L10" s="40">
        <v>172.02099999999999</v>
      </c>
      <c r="N10" s="40">
        <v>180.43799999999999</v>
      </c>
      <c r="O10" s="78"/>
      <c r="P10" s="53">
        <f>SUM(H10,J10,L10,N10)</f>
        <v>688.84999999999991</v>
      </c>
      <c r="R10" s="40">
        <v>182.09399999999999</v>
      </c>
      <c r="T10" s="40">
        <v>168.99199999999999</v>
      </c>
      <c r="V10" s="40">
        <v>165.81200000000001</v>
      </c>
      <c r="X10" s="40">
        <v>165.52500000000001</v>
      </c>
      <c r="Y10" s="78"/>
      <c r="Z10" s="53">
        <f>SUM(R10,T10,V10,X10)-0.001</f>
        <v>682.42200000000003</v>
      </c>
      <c r="AB10" s="40">
        <v>171.756</v>
      </c>
    </row>
    <row r="11" spans="1:28" s="3" customFormat="1" ht="12.75" customHeight="1" x14ac:dyDescent="0.2">
      <c r="A11" s="54" t="s">
        <v>153</v>
      </c>
      <c r="B11" s="20">
        <f>SUM(B9:B10)</f>
        <v>560.39900000000011</v>
      </c>
      <c r="D11" s="20">
        <f>SUM(D9:D10)</f>
        <v>614.42800000000011</v>
      </c>
      <c r="F11" s="20">
        <f>SUM(F9:F10)</f>
        <v>667.78599999999994</v>
      </c>
      <c r="H11" s="21">
        <f>SUM(H9:H10)</f>
        <v>173.816</v>
      </c>
      <c r="I11" s="6"/>
      <c r="J11" s="21">
        <f>SUM(J9:J10)</f>
        <v>169.84100000000001</v>
      </c>
      <c r="K11" s="6"/>
      <c r="L11" s="21">
        <f>SUM(L9:L10)</f>
        <v>179.32599999999999</v>
      </c>
      <c r="M11" s="6"/>
      <c r="N11" s="21">
        <f>SUM(N9:N10)</f>
        <v>193.47399999999999</v>
      </c>
      <c r="O11" s="77"/>
      <c r="P11" s="20">
        <f>SUM(P9:P10)</f>
        <v>716.45699999999988</v>
      </c>
      <c r="R11" s="21">
        <f>SUM(R9:R10)</f>
        <v>196.999</v>
      </c>
      <c r="S11" s="6"/>
      <c r="T11" s="21">
        <f>SUM(T9:T10)</f>
        <v>185.34699999999998</v>
      </c>
      <c r="U11" s="6"/>
      <c r="V11" s="21">
        <f>SUM(V9:V10)</f>
        <v>183.31900000000002</v>
      </c>
      <c r="W11" s="6"/>
      <c r="X11" s="21">
        <f>SUM(X9:X10)</f>
        <v>183.828</v>
      </c>
      <c r="Y11" s="77"/>
      <c r="Z11" s="20">
        <f>SUM(Z9:Z10)</f>
        <v>749.49199999999996</v>
      </c>
      <c r="AB11" s="21">
        <f>SUM(AB9:AB10)</f>
        <v>194.12</v>
      </c>
    </row>
    <row r="12" spans="1:28" s="3" customFormat="1" ht="12.75" customHeight="1" x14ac:dyDescent="0.2">
      <c r="A12" s="16" t="s">
        <v>152</v>
      </c>
      <c r="B12" s="53">
        <v>342.00599999999997</v>
      </c>
      <c r="D12" s="53">
        <v>348.39399999999995</v>
      </c>
      <c r="F12" s="53">
        <v>344.209</v>
      </c>
      <c r="H12" s="40">
        <v>79.191999999999993</v>
      </c>
      <c r="I12" s="6"/>
      <c r="J12" s="40">
        <v>84.953000000000003</v>
      </c>
      <c r="K12" s="6"/>
      <c r="L12" s="40">
        <v>90.397999999999996</v>
      </c>
      <c r="M12" s="6"/>
      <c r="N12" s="40">
        <v>108.34699999999999</v>
      </c>
      <c r="O12" s="77"/>
      <c r="P12" s="53">
        <f>SUM(H12,J12,L12,N12)</f>
        <v>362.89</v>
      </c>
      <c r="R12" s="40">
        <v>64.748000000000005</v>
      </c>
      <c r="S12" s="6"/>
      <c r="T12" s="40">
        <v>70.186999999999998</v>
      </c>
      <c r="U12" s="6"/>
      <c r="V12" s="40">
        <v>66.771000000000001</v>
      </c>
      <c r="W12" s="6"/>
      <c r="X12" s="40">
        <v>81.052999999999997</v>
      </c>
      <c r="Y12" s="77"/>
      <c r="Z12" s="53">
        <f>SUM(R12,T12,V12,X12)+0.001</f>
        <v>282.76</v>
      </c>
      <c r="AB12" s="40">
        <v>47.762999999999998</v>
      </c>
    </row>
    <row r="13" spans="1:28" s="3" customFormat="1" ht="12.75" customHeight="1" x14ac:dyDescent="0.2">
      <c r="A13" s="54" t="s">
        <v>148</v>
      </c>
      <c r="B13" s="20">
        <f>SUM(B11:B12)</f>
        <v>902.40500000000009</v>
      </c>
      <c r="D13" s="20">
        <f>SUM(D11:D12)</f>
        <v>962.82200000000012</v>
      </c>
      <c r="F13" s="20">
        <f>SUM(F11:F12)</f>
        <v>1011.9949999999999</v>
      </c>
      <c r="H13" s="21">
        <f>SUM(H11:H12)</f>
        <v>253.00799999999998</v>
      </c>
      <c r="I13" s="6"/>
      <c r="J13" s="21">
        <f>SUM(J11:J12)</f>
        <v>254.79400000000001</v>
      </c>
      <c r="K13" s="6"/>
      <c r="L13" s="21">
        <f>SUM(L11:L12)</f>
        <v>269.72399999999999</v>
      </c>
      <c r="M13" s="6"/>
      <c r="N13" s="21">
        <f>SUM(N11:N12)</f>
        <v>301.82099999999997</v>
      </c>
      <c r="O13" s="6"/>
      <c r="P13" s="20">
        <f>SUM(P11:P12)</f>
        <v>1079.3469999999998</v>
      </c>
      <c r="R13" s="21">
        <f>SUM(R11:R12)</f>
        <v>261.74700000000001</v>
      </c>
      <c r="S13" s="6"/>
      <c r="T13" s="21">
        <f>SUM(T11:T12)</f>
        <v>255.53399999999999</v>
      </c>
      <c r="U13" s="6"/>
      <c r="V13" s="21">
        <f>SUM(V11:V12)</f>
        <v>250.09000000000003</v>
      </c>
      <c r="W13" s="6"/>
      <c r="X13" s="21">
        <f>SUM(X11:X12)</f>
        <v>264.88099999999997</v>
      </c>
      <c r="Y13" s="6"/>
      <c r="Z13" s="20">
        <f>SUM(Z11:Z12)</f>
        <v>1032.252</v>
      </c>
      <c r="AB13" s="21">
        <f>SUM(AB11:AB12)</f>
        <v>241.88300000000001</v>
      </c>
    </row>
    <row r="14" spans="1:28" s="3" customFormat="1" ht="12.75" customHeight="1" x14ac:dyDescent="0.2">
      <c r="A14" s="15" t="s">
        <v>49</v>
      </c>
      <c r="B14" s="53">
        <v>267.14999999999998</v>
      </c>
      <c r="C14" s="21"/>
      <c r="D14" s="53">
        <v>295.34199999999998</v>
      </c>
      <c r="E14" s="21"/>
      <c r="F14" s="53">
        <v>284.58100000000002</v>
      </c>
      <c r="G14" s="21"/>
      <c r="H14" s="40">
        <v>71.917000000000002</v>
      </c>
      <c r="I14" s="21"/>
      <c r="J14" s="41">
        <v>73.906000000000006</v>
      </c>
      <c r="K14" s="31"/>
      <c r="L14" s="41">
        <v>66.91</v>
      </c>
      <c r="M14" s="21"/>
      <c r="N14" s="40">
        <v>66.135999999999996</v>
      </c>
      <c r="O14" s="77"/>
      <c r="P14" s="53">
        <f>SUM(H14,J14,L14,N14)</f>
        <v>278.86900000000003</v>
      </c>
      <c r="Q14" s="21"/>
      <c r="R14" s="40">
        <v>65.099000000000004</v>
      </c>
      <c r="S14" s="21"/>
      <c r="T14" s="40">
        <v>59.718000000000004</v>
      </c>
      <c r="U14" s="31"/>
      <c r="V14" s="40">
        <v>53.808999999999997</v>
      </c>
      <c r="W14" s="21"/>
      <c r="X14" s="40">
        <v>48.232999999999997</v>
      </c>
      <c r="Y14" s="78"/>
      <c r="Z14" s="53">
        <f>SUM(R14,T14,V14,X14)</f>
        <v>226.85900000000001</v>
      </c>
      <c r="AA14" s="2"/>
      <c r="AB14" s="40">
        <v>49.631</v>
      </c>
    </row>
    <row r="15" spans="1:28" s="3" customFormat="1" ht="12.75" customHeight="1" x14ac:dyDescent="0.2">
      <c r="A15" s="7" t="s">
        <v>8</v>
      </c>
      <c r="B15" s="53">
        <f>SUM(B13:B14)</f>
        <v>1169.5550000000001</v>
      </c>
      <c r="C15" s="21"/>
      <c r="D15" s="53">
        <f>SUM(D13:D14)</f>
        <v>1258.1640000000002</v>
      </c>
      <c r="E15" s="21"/>
      <c r="F15" s="53">
        <f>SUM(F13:F14)</f>
        <v>1296.576</v>
      </c>
      <c r="G15" s="21"/>
      <c r="H15" s="40">
        <f>SUM(H13:H14)</f>
        <v>324.92499999999995</v>
      </c>
      <c r="I15" s="6"/>
      <c r="J15" s="40">
        <f>SUM(J13:J14)</f>
        <v>328.70000000000005</v>
      </c>
      <c r="K15" s="52"/>
      <c r="L15" s="40">
        <f>SUM(L13:L14)</f>
        <v>336.63400000000001</v>
      </c>
      <c r="M15" s="6"/>
      <c r="N15" s="40">
        <f>SUM(N13:N14)</f>
        <v>367.95699999999999</v>
      </c>
      <c r="O15" s="6"/>
      <c r="P15" s="53">
        <f>SUM(P13:P14)</f>
        <v>1358.2159999999999</v>
      </c>
      <c r="Q15" s="21"/>
      <c r="R15" s="40">
        <f>SUM(R13:R14)</f>
        <v>326.846</v>
      </c>
      <c r="S15" s="6"/>
      <c r="T15" s="40">
        <f>SUM(T13:T14)</f>
        <v>315.25200000000001</v>
      </c>
      <c r="U15" s="52"/>
      <c r="V15" s="40">
        <f>SUM(V13:V14)</f>
        <v>303.899</v>
      </c>
      <c r="W15" s="6"/>
      <c r="X15" s="40">
        <f>SUM(X13:X14)</f>
        <v>313.11399999999998</v>
      </c>
      <c r="Y15" s="6"/>
      <c r="Z15" s="53">
        <f>SUM(Z13:Z14)</f>
        <v>1259.1109999999999</v>
      </c>
      <c r="AA15" s="2"/>
      <c r="AB15" s="40">
        <f>SUM(AB13:AB14)</f>
        <v>291.51400000000001</v>
      </c>
    </row>
    <row r="16" spans="1:28" s="3" customFormat="1" ht="12.75" customHeight="1" x14ac:dyDescent="0.2">
      <c r="A16" s="7" t="s">
        <v>50</v>
      </c>
      <c r="B16" s="20"/>
      <c r="D16" s="20"/>
      <c r="F16" s="20"/>
      <c r="H16" s="21"/>
      <c r="J16" s="21"/>
      <c r="L16" s="21"/>
      <c r="N16" s="21"/>
      <c r="O16" s="78"/>
      <c r="P16" s="20"/>
      <c r="R16" s="21"/>
      <c r="T16" s="21"/>
      <c r="V16" s="21"/>
      <c r="X16" s="21"/>
      <c r="Y16" s="77"/>
      <c r="Z16" s="20"/>
      <c r="AB16" s="21"/>
    </row>
    <row r="17" spans="1:28" s="3" customFormat="1" ht="12.75" customHeight="1" x14ac:dyDescent="0.2">
      <c r="A17" s="16" t="s">
        <v>154</v>
      </c>
      <c r="B17" s="20">
        <v>77.989000000000004</v>
      </c>
      <c r="C17" s="8"/>
      <c r="D17" s="20">
        <v>87.571000000000012</v>
      </c>
      <c r="E17" s="8"/>
      <c r="F17" s="20">
        <v>98.187000000000012</v>
      </c>
      <c r="G17" s="8"/>
      <c r="H17" s="19">
        <v>24.749000000000002</v>
      </c>
      <c r="I17" s="8"/>
      <c r="J17" s="19">
        <v>27.075000000000003</v>
      </c>
      <c r="K17" s="8"/>
      <c r="L17" s="19">
        <v>26.988</v>
      </c>
      <c r="M17" s="8"/>
      <c r="N17" s="19">
        <v>28.723000000000003</v>
      </c>
      <c r="O17" s="79"/>
      <c r="P17" s="20">
        <f>SUM(H17,J17,L17,N17)</f>
        <v>107.53500000000001</v>
      </c>
      <c r="Q17" s="8"/>
      <c r="R17" s="19">
        <v>29.04</v>
      </c>
      <c r="S17" s="8"/>
      <c r="T17" s="19">
        <v>28.696999999999999</v>
      </c>
      <c r="U17" s="8"/>
      <c r="V17" s="19">
        <v>27.192</v>
      </c>
      <c r="W17" s="8"/>
      <c r="X17" s="19">
        <v>27.365000000000002</v>
      </c>
      <c r="Y17" s="77"/>
      <c r="Z17" s="20">
        <f>SUM(R17,T17,V17,X17)</f>
        <v>112.29400000000001</v>
      </c>
      <c r="AA17" s="8"/>
      <c r="AB17" s="19">
        <v>29.782</v>
      </c>
    </row>
    <row r="18" spans="1:28" s="3" customFormat="1" ht="12.75" customHeight="1" x14ac:dyDescent="0.2">
      <c r="A18" s="16" t="s">
        <v>51</v>
      </c>
      <c r="B18" s="53">
        <v>255.63899999999998</v>
      </c>
      <c r="C18" s="21"/>
      <c r="D18" s="53">
        <v>259.79999999999995</v>
      </c>
      <c r="E18" s="21"/>
      <c r="F18" s="53">
        <v>246.78699999999998</v>
      </c>
      <c r="G18" s="21"/>
      <c r="H18" s="40">
        <v>61.183999999999997</v>
      </c>
      <c r="I18" s="21"/>
      <c r="J18" s="40">
        <v>59.994999999999997</v>
      </c>
      <c r="K18" s="80"/>
      <c r="L18" s="41">
        <v>57.162999999999997</v>
      </c>
      <c r="M18" s="21"/>
      <c r="N18" s="40">
        <v>59.348999999999997</v>
      </c>
      <c r="O18" s="77"/>
      <c r="P18" s="53">
        <f>SUM(H18,J18,L18,N18)</f>
        <v>237.69099999999997</v>
      </c>
      <c r="Q18" s="21"/>
      <c r="R18" s="40">
        <v>56.634</v>
      </c>
      <c r="S18" s="21"/>
      <c r="T18" s="40">
        <v>50.183</v>
      </c>
      <c r="U18" s="80"/>
      <c r="V18" s="40">
        <v>44.911999999999999</v>
      </c>
      <c r="W18" s="21"/>
      <c r="X18" s="40">
        <v>41.667999999999999</v>
      </c>
      <c r="Y18" s="77"/>
      <c r="Z18" s="53">
        <f>SUM(R18,T18,V18,X18)</f>
        <v>193.39700000000002</v>
      </c>
      <c r="AA18" s="2"/>
      <c r="AB18" s="40">
        <v>42.014000000000003</v>
      </c>
    </row>
    <row r="19" spans="1:28" s="3" customFormat="1" ht="12.75" customHeight="1" x14ac:dyDescent="0.2">
      <c r="A19" s="54" t="s">
        <v>52</v>
      </c>
      <c r="B19" s="20">
        <v>333.62800000000004</v>
      </c>
      <c r="D19" s="20">
        <v>347.37099999999998</v>
      </c>
      <c r="F19" s="20">
        <v>344.97400000000005</v>
      </c>
      <c r="H19" s="21">
        <f>SUM(H17:H18)</f>
        <v>85.932999999999993</v>
      </c>
      <c r="I19" s="21"/>
      <c r="J19" s="21">
        <f>SUM(J17:J18)</f>
        <v>87.07</v>
      </c>
      <c r="K19" s="21"/>
      <c r="L19" s="21">
        <f>SUM(L17:L18)</f>
        <v>84.150999999999996</v>
      </c>
      <c r="M19" s="21"/>
      <c r="N19" s="21">
        <f>SUM(N17:N18)</f>
        <v>88.072000000000003</v>
      </c>
      <c r="O19" s="77"/>
      <c r="P19" s="20">
        <f>SUM(H19,J19,L19,N19)</f>
        <v>345.226</v>
      </c>
      <c r="R19" s="21">
        <f>SUM(R17:R18)</f>
        <v>85.674000000000007</v>
      </c>
      <c r="S19" s="21"/>
      <c r="T19" s="21">
        <f>SUM(T17:T18)</f>
        <v>78.88</v>
      </c>
      <c r="U19" s="21"/>
      <c r="V19" s="21">
        <f>SUM(V17:V18)</f>
        <v>72.103999999999999</v>
      </c>
      <c r="W19" s="21"/>
      <c r="X19" s="21">
        <f>SUM(X17:X18)</f>
        <v>69.033000000000001</v>
      </c>
      <c r="Y19" s="77"/>
      <c r="Z19" s="20">
        <f>SUM(R19,T19,V19,X19)</f>
        <v>305.69100000000003</v>
      </c>
      <c r="AB19" s="21">
        <f>SUM(AB17:AB18)</f>
        <v>71.796000000000006</v>
      </c>
    </row>
    <row r="20" spans="1:28" s="3" customFormat="1" ht="12.75" customHeight="1" x14ac:dyDescent="0.2">
      <c r="A20" s="7" t="s">
        <v>53</v>
      </c>
      <c r="B20" s="20">
        <v>835.92700000000002</v>
      </c>
      <c r="D20" s="20">
        <v>910.79300000000023</v>
      </c>
      <c r="F20" s="20">
        <v>951.60199999999998</v>
      </c>
      <c r="H20" s="21">
        <f>H15-H19</f>
        <v>238.99199999999996</v>
      </c>
      <c r="I20" s="21"/>
      <c r="J20" s="21">
        <f>J15-J19</f>
        <v>241.63000000000005</v>
      </c>
      <c r="K20" s="21"/>
      <c r="L20" s="21">
        <f>L15-L19</f>
        <v>252.483</v>
      </c>
      <c r="M20" s="21"/>
      <c r="N20" s="21">
        <f>N15-N19</f>
        <v>279.88499999999999</v>
      </c>
      <c r="O20" s="21"/>
      <c r="P20" s="20">
        <f>P15-P19</f>
        <v>1012.9899999999999</v>
      </c>
      <c r="R20" s="21">
        <f>R15-R19</f>
        <v>241.172</v>
      </c>
      <c r="S20" s="21"/>
      <c r="T20" s="21">
        <f>T15-T19</f>
        <v>236.37200000000001</v>
      </c>
      <c r="U20" s="21"/>
      <c r="V20" s="21">
        <f>V15-V19</f>
        <v>231.79500000000002</v>
      </c>
      <c r="W20" s="21"/>
      <c r="X20" s="21">
        <f>X15-X19</f>
        <v>244.08099999999996</v>
      </c>
      <c r="Y20" s="21"/>
      <c r="Z20" s="20">
        <f>Z15-Z19</f>
        <v>953.41999999999985</v>
      </c>
      <c r="AB20" s="21">
        <f>AB15-AB19</f>
        <v>219.71800000000002</v>
      </c>
    </row>
    <row r="21" spans="1:28" s="3" customFormat="1" ht="12.75" customHeight="1" x14ac:dyDescent="0.2">
      <c r="A21" s="7" t="s">
        <v>54</v>
      </c>
      <c r="B21" s="20"/>
      <c r="D21" s="20"/>
      <c r="F21" s="20"/>
      <c r="H21" s="21"/>
      <c r="J21" s="21"/>
      <c r="L21" s="21"/>
      <c r="N21" s="21"/>
      <c r="O21" s="78"/>
      <c r="P21" s="20"/>
      <c r="R21" s="21"/>
      <c r="T21" s="21"/>
      <c r="V21" s="21"/>
      <c r="X21" s="21"/>
      <c r="Y21" s="78"/>
      <c r="Z21" s="20"/>
      <c r="AB21" s="21"/>
    </row>
    <row r="22" spans="1:28" s="3" customFormat="1" ht="12.75" customHeight="1" x14ac:dyDescent="0.2">
      <c r="A22" s="15" t="s">
        <v>55</v>
      </c>
      <c r="B22" s="20">
        <v>344.26499999999999</v>
      </c>
      <c r="D22" s="20">
        <v>370.267</v>
      </c>
      <c r="F22" s="20">
        <v>359.435</v>
      </c>
      <c r="H22" s="19">
        <f>81.739+2.343</f>
        <v>84.082000000000008</v>
      </c>
      <c r="I22" s="139"/>
      <c r="J22" s="19">
        <f>82.915+2.26</f>
        <v>85.175000000000011</v>
      </c>
      <c r="K22" s="38"/>
      <c r="L22" s="19">
        <f>88.375+1.57</f>
        <v>89.944999999999993</v>
      </c>
      <c r="M22" s="139"/>
      <c r="N22" s="19">
        <f>93.538+1.375</f>
        <v>94.912999999999997</v>
      </c>
      <c r="O22" s="139"/>
      <c r="P22" s="20">
        <f>SUM(H22,J22,L22,N22)</f>
        <v>354.11500000000001</v>
      </c>
      <c r="Q22" s="139"/>
      <c r="R22" s="19">
        <f>84.735+1.548</f>
        <v>86.283000000000001</v>
      </c>
      <c r="S22" s="139"/>
      <c r="T22" s="19">
        <f>78.943+1.377</f>
        <v>80.319999999999993</v>
      </c>
      <c r="U22" s="139"/>
      <c r="V22" s="19">
        <f>83.024+1.254</f>
        <v>84.278000000000006</v>
      </c>
      <c r="W22" s="139"/>
      <c r="X22" s="19">
        <f>79.852+1.872</f>
        <v>81.724000000000004</v>
      </c>
      <c r="Y22" s="139"/>
      <c r="Z22" s="20">
        <f>SUM(R22,T22,V22,X22)</f>
        <v>332.60500000000002</v>
      </c>
      <c r="AA22" s="139"/>
      <c r="AB22" s="19">
        <v>78.147000000000006</v>
      </c>
    </row>
    <row r="23" spans="1:28" s="3" customFormat="1" ht="12.75" customHeight="1" x14ac:dyDescent="0.2">
      <c r="A23" s="15" t="s">
        <v>56</v>
      </c>
      <c r="B23" s="20">
        <v>202.85900000000001</v>
      </c>
      <c r="D23" s="20">
        <v>206.19900000000001</v>
      </c>
      <c r="F23" s="20">
        <v>213.328</v>
      </c>
      <c r="H23" s="19">
        <v>50.384</v>
      </c>
      <c r="J23" s="19">
        <v>53.484000000000002</v>
      </c>
      <c r="K23" s="35"/>
      <c r="L23" s="19">
        <v>55.173999999999999</v>
      </c>
      <c r="M23" s="161"/>
      <c r="N23" s="19">
        <v>57.335000000000001</v>
      </c>
      <c r="O23" s="161"/>
      <c r="P23" s="20">
        <f>SUM(H23,J23,L23,N23)</f>
        <v>216.37700000000001</v>
      </c>
      <c r="R23" s="19">
        <v>58.011000000000003</v>
      </c>
      <c r="T23" s="19">
        <v>57.156999999999996</v>
      </c>
      <c r="V23" s="19">
        <f>51.15</f>
        <v>51.15</v>
      </c>
      <c r="X23" s="19">
        <v>49.572000000000003</v>
      </c>
      <c r="Y23" s="78"/>
      <c r="Z23" s="20">
        <f>SUM(R23,T23,V23,X23)</f>
        <v>215.89000000000001</v>
      </c>
      <c r="AB23" s="19">
        <v>55.155999999999999</v>
      </c>
    </row>
    <row r="24" spans="1:28" s="3" customFormat="1" ht="12.75" customHeight="1" x14ac:dyDescent="0.2">
      <c r="A24" s="15" t="s">
        <v>57</v>
      </c>
      <c r="B24" s="20">
        <v>82.207999999999998</v>
      </c>
      <c r="D24" s="20">
        <v>87.558000000000007</v>
      </c>
      <c r="F24" s="20">
        <v>92.569000000000003</v>
      </c>
      <c r="H24" s="19">
        <f>24.576-2.343</f>
        <v>22.233000000000001</v>
      </c>
      <c r="I24" s="161"/>
      <c r="J24" s="19">
        <f>25.125-2.26</f>
        <v>22.865000000000002</v>
      </c>
      <c r="K24" s="35"/>
      <c r="L24" s="19">
        <f>27.563-1.57</f>
        <v>25.992999999999999</v>
      </c>
      <c r="M24" s="161"/>
      <c r="N24" s="19">
        <f>32.494-1.375</f>
        <v>31.119</v>
      </c>
      <c r="O24" s="161"/>
      <c r="P24" s="20">
        <f>SUM(H24,J24,L24,N24)</f>
        <v>102.21</v>
      </c>
      <c r="R24" s="19">
        <f>28.613-1.548</f>
        <v>27.064999999999998</v>
      </c>
      <c r="S24" s="161"/>
      <c r="T24" s="19">
        <f>26.501-1.377</f>
        <v>25.124000000000002</v>
      </c>
      <c r="U24" s="161"/>
      <c r="V24" s="19">
        <f>24.442-1.254</f>
        <v>23.187999999999999</v>
      </c>
      <c r="W24" s="161"/>
      <c r="X24" s="19">
        <f>27.093-1.872</f>
        <v>25.221</v>
      </c>
      <c r="Y24" s="78"/>
      <c r="Z24" s="20">
        <f>SUM(R24,T24,V24,X24)</f>
        <v>100.598</v>
      </c>
      <c r="AB24" s="19">
        <v>24.321999999999999</v>
      </c>
    </row>
    <row r="25" spans="1:28" s="3" customFormat="1" ht="12.75" customHeight="1" x14ac:dyDescent="0.2">
      <c r="A25" s="15" t="s">
        <v>58</v>
      </c>
      <c r="B25" s="20">
        <v>0</v>
      </c>
      <c r="D25" s="20">
        <v>0</v>
      </c>
      <c r="F25" s="20">
        <v>0</v>
      </c>
      <c r="H25" s="57">
        <v>0</v>
      </c>
      <c r="J25" s="57">
        <v>0</v>
      </c>
      <c r="L25" s="57">
        <v>0</v>
      </c>
      <c r="N25" s="57">
        <v>0</v>
      </c>
      <c r="O25" s="78"/>
      <c r="P25" s="20">
        <f>SUM(H25,J25,L25,N25)</f>
        <v>0</v>
      </c>
      <c r="R25" s="57">
        <v>0</v>
      </c>
      <c r="T25" s="57">
        <v>0</v>
      </c>
      <c r="V25" s="57">
        <v>0</v>
      </c>
      <c r="X25" s="57">
        <v>0</v>
      </c>
      <c r="Y25" s="78"/>
      <c r="Z25" s="20">
        <f>SUM(R25,T25,V25,X25)</f>
        <v>0</v>
      </c>
      <c r="AB25" s="57">
        <v>0</v>
      </c>
    </row>
    <row r="26" spans="1:28" s="3" customFormat="1" ht="12.75" customHeight="1" x14ac:dyDescent="0.2">
      <c r="A26" s="15" t="s">
        <v>59</v>
      </c>
      <c r="B26" s="20">
        <v>0</v>
      </c>
      <c r="D26" s="20">
        <v>0</v>
      </c>
      <c r="F26" s="20">
        <v>0</v>
      </c>
      <c r="H26" s="57">
        <v>0</v>
      </c>
      <c r="J26" s="57">
        <v>0</v>
      </c>
      <c r="L26" s="57">
        <v>0</v>
      </c>
      <c r="N26" s="57">
        <v>0</v>
      </c>
      <c r="O26" s="78"/>
      <c r="P26" s="20">
        <f>SUM(H26,J26,L26,N26)</f>
        <v>0</v>
      </c>
      <c r="R26" s="57">
        <v>0</v>
      </c>
      <c r="T26" s="57">
        <v>0</v>
      </c>
      <c r="V26" s="57">
        <v>0</v>
      </c>
      <c r="X26" s="57">
        <v>0</v>
      </c>
      <c r="Y26" s="78"/>
      <c r="Z26" s="20">
        <f>SUM(R26,T26,V26,X26)</f>
        <v>0</v>
      </c>
      <c r="AB26" s="57">
        <v>0</v>
      </c>
    </row>
    <row r="27" spans="1:28" s="3" customFormat="1" ht="12.75" customHeight="1" x14ac:dyDescent="0.2">
      <c r="A27" s="7" t="s">
        <v>60</v>
      </c>
      <c r="B27" s="59">
        <v>629.33200000000011</v>
      </c>
      <c r="D27" s="59">
        <v>664.024</v>
      </c>
      <c r="F27" s="59">
        <v>665.33200000000011</v>
      </c>
      <c r="H27" s="58">
        <f t="shared" ref="H27:V27" si="0">SUM(H22:H26)</f>
        <v>156.69900000000001</v>
      </c>
      <c r="I27" s="3">
        <f t="shared" si="0"/>
        <v>0</v>
      </c>
      <c r="J27" s="58">
        <f t="shared" si="0"/>
        <v>161.52400000000003</v>
      </c>
      <c r="K27" s="3">
        <f t="shared" si="0"/>
        <v>0</v>
      </c>
      <c r="L27" s="58">
        <f t="shared" si="0"/>
        <v>171.11199999999999</v>
      </c>
      <c r="M27" s="3">
        <f t="shared" si="0"/>
        <v>0</v>
      </c>
      <c r="N27" s="58">
        <f t="shared" si="0"/>
        <v>183.36699999999999</v>
      </c>
      <c r="O27" s="78">
        <f t="shared" si="0"/>
        <v>0</v>
      </c>
      <c r="P27" s="59">
        <f t="shared" si="0"/>
        <v>672.702</v>
      </c>
      <c r="R27" s="58">
        <f t="shared" si="0"/>
        <v>171.35900000000001</v>
      </c>
      <c r="S27" s="3">
        <f t="shared" si="0"/>
        <v>0</v>
      </c>
      <c r="T27" s="58">
        <f t="shared" si="0"/>
        <v>162.60099999999997</v>
      </c>
      <c r="U27" s="3">
        <f t="shared" si="0"/>
        <v>0</v>
      </c>
      <c r="V27" s="58">
        <f t="shared" si="0"/>
        <v>158.61599999999999</v>
      </c>
      <c r="X27" s="58">
        <f t="shared" ref="X27" si="1">SUM(X22:X26)</f>
        <v>156.517</v>
      </c>
      <c r="Y27" s="78"/>
      <c r="Z27" s="59">
        <f t="shared" ref="Z27" si="2">SUM(Z22:Z26)</f>
        <v>649.09299999999996</v>
      </c>
      <c r="AB27" s="58">
        <f t="shared" ref="AB27" si="3">SUM(AB22:AB26)</f>
        <v>157.625</v>
      </c>
    </row>
    <row r="28" spans="1:28" s="3" customFormat="1" ht="12.75" customHeight="1" x14ac:dyDescent="0.2">
      <c r="A28" s="7" t="s">
        <v>61</v>
      </c>
      <c r="B28" s="20">
        <v>206.59499999999991</v>
      </c>
      <c r="D28" s="20">
        <v>246.76900000000023</v>
      </c>
      <c r="F28" s="20">
        <v>286.26999999999987</v>
      </c>
      <c r="H28" s="21">
        <f t="shared" ref="H28:V28" si="4">H20-H27</f>
        <v>82.29299999999995</v>
      </c>
      <c r="I28" s="3">
        <f t="shared" si="4"/>
        <v>0</v>
      </c>
      <c r="J28" s="21">
        <f t="shared" si="4"/>
        <v>80.106000000000023</v>
      </c>
      <c r="K28" s="3">
        <f t="shared" si="4"/>
        <v>0</v>
      </c>
      <c r="L28" s="21">
        <f t="shared" si="4"/>
        <v>81.371000000000009</v>
      </c>
      <c r="M28" s="3">
        <f t="shared" si="4"/>
        <v>0</v>
      </c>
      <c r="N28" s="21">
        <f t="shared" si="4"/>
        <v>96.518000000000001</v>
      </c>
      <c r="O28" s="78">
        <f t="shared" si="4"/>
        <v>0</v>
      </c>
      <c r="P28" s="20">
        <f t="shared" si="4"/>
        <v>340.2879999999999</v>
      </c>
      <c r="R28" s="21">
        <f t="shared" si="4"/>
        <v>69.812999999999988</v>
      </c>
      <c r="S28" s="3">
        <f t="shared" si="4"/>
        <v>0</v>
      </c>
      <c r="T28" s="21">
        <f t="shared" si="4"/>
        <v>73.771000000000043</v>
      </c>
      <c r="U28" s="3">
        <f t="shared" si="4"/>
        <v>0</v>
      </c>
      <c r="V28" s="21">
        <f t="shared" si="4"/>
        <v>73.17900000000003</v>
      </c>
      <c r="X28" s="21">
        <f t="shared" ref="X28" si="5">X20-X27</f>
        <v>87.563999999999965</v>
      </c>
      <c r="Y28" s="78"/>
      <c r="Z28" s="20">
        <f t="shared" ref="Z28" si="6">Z20-Z27</f>
        <v>304.32699999999988</v>
      </c>
      <c r="AB28" s="21">
        <f t="shared" ref="AB28" si="7">AB20-AB27</f>
        <v>62.093000000000018</v>
      </c>
    </row>
    <row r="29" spans="1:28" s="3" customFormat="1" ht="12.75" customHeight="1" x14ac:dyDescent="0.2">
      <c r="A29" s="7" t="s">
        <v>62</v>
      </c>
      <c r="B29" s="53">
        <v>-7.4589999999999996</v>
      </c>
      <c r="D29" s="53">
        <v>-6.5990000000000002</v>
      </c>
      <c r="F29" s="53">
        <v>-6.8070000000000004</v>
      </c>
      <c r="H29" s="40">
        <v>-1.7529999999999999</v>
      </c>
      <c r="J29" s="40">
        <v>-2.6920000000000002</v>
      </c>
      <c r="L29" s="40">
        <v>-2.278</v>
      </c>
      <c r="N29" s="40">
        <v>-3.74</v>
      </c>
      <c r="O29" s="78"/>
      <c r="P29" s="53">
        <f>SUM(H29,J29,L29,N29)-0.001</f>
        <v>-10.464</v>
      </c>
      <c r="R29" s="40">
        <v>-3.2240000000000002</v>
      </c>
      <c r="T29" s="40">
        <v>-3.601</v>
      </c>
      <c r="V29" s="40">
        <v>-3.6680000000000001</v>
      </c>
      <c r="X29" s="40">
        <v>-4.5979999999999999</v>
      </c>
      <c r="Y29" s="78"/>
      <c r="Z29" s="53">
        <f>SUM(R29,T29,V29,X29)</f>
        <v>-15.091000000000001</v>
      </c>
      <c r="AB29" s="40">
        <v>-3.8940000000000001</v>
      </c>
    </row>
    <row r="30" spans="1:28" s="3" customFormat="1" ht="12.75" customHeight="1" x14ac:dyDescent="0.2">
      <c r="A30" s="7" t="s">
        <v>63</v>
      </c>
      <c r="B30" s="20">
        <v>199.13599999999991</v>
      </c>
      <c r="D30" s="20">
        <v>240.17000000000024</v>
      </c>
      <c r="F30" s="20">
        <v>279.46299999999985</v>
      </c>
      <c r="H30" s="19">
        <f>SUM(H28:H29)</f>
        <v>80.539999999999949</v>
      </c>
      <c r="J30" s="19">
        <f>SUM(J28:J29)</f>
        <v>77.414000000000016</v>
      </c>
      <c r="L30" s="19">
        <f>SUM(L28:L29)</f>
        <v>79.093000000000004</v>
      </c>
      <c r="N30" s="19">
        <f>SUM(N28:N29)</f>
        <v>92.778000000000006</v>
      </c>
      <c r="O30" s="78"/>
      <c r="P30" s="20">
        <f>SUM(P28:P29)</f>
        <v>329.8239999999999</v>
      </c>
      <c r="R30" s="19">
        <f>SUM(R28:R29)</f>
        <v>66.588999999999984</v>
      </c>
      <c r="T30" s="19">
        <f>SUM(T28:T29)</f>
        <v>70.170000000000044</v>
      </c>
      <c r="V30" s="19">
        <f>SUM(V28:V29)</f>
        <v>69.511000000000024</v>
      </c>
      <c r="X30" s="19">
        <f>SUM(X28:X29)</f>
        <v>82.965999999999966</v>
      </c>
      <c r="Y30" s="78"/>
      <c r="Z30" s="20">
        <f>SUM(Z28:Z29)</f>
        <v>289.23599999999988</v>
      </c>
      <c r="AB30" s="19">
        <f>SUM(AB28:AB29)</f>
        <v>58.199000000000019</v>
      </c>
    </row>
    <row r="31" spans="1:28" s="3" customFormat="1" ht="12.75" customHeight="1" x14ac:dyDescent="0.2">
      <c r="A31" s="7" t="s">
        <v>64</v>
      </c>
      <c r="B31" s="20">
        <v>46.97</v>
      </c>
      <c r="D31" s="20">
        <v>57.307000000000002</v>
      </c>
      <c r="F31" s="20">
        <v>60.299000000000007</v>
      </c>
      <c r="H31" s="21">
        <v>20.318999999999999</v>
      </c>
      <c r="J31" s="21">
        <v>19.719000000000001</v>
      </c>
      <c r="L31" s="21">
        <v>15.355</v>
      </c>
      <c r="N31" s="21">
        <v>14.053000000000001</v>
      </c>
      <c r="O31" s="78"/>
      <c r="P31" s="20">
        <f>SUM(H31,J31,L31,N31)</f>
        <v>69.445999999999998</v>
      </c>
      <c r="R31" s="21">
        <v>7.609</v>
      </c>
      <c r="T31" s="21">
        <v>8.7520000000000007</v>
      </c>
      <c r="V31" s="21">
        <v>7.8129999999999997</v>
      </c>
      <c r="X31" s="21">
        <v>5.8819999999999997</v>
      </c>
      <c r="Y31" s="78"/>
      <c r="Z31" s="20">
        <f>SUM(R31,T31,V31,X31)</f>
        <v>30.055999999999997</v>
      </c>
      <c r="AB31" s="21">
        <v>-0.58299999999999996</v>
      </c>
    </row>
    <row r="32" spans="1:28" s="3" customFormat="1" ht="12.75" customHeight="1" thickBot="1" x14ac:dyDescent="0.25">
      <c r="A32" s="42" t="s">
        <v>65</v>
      </c>
      <c r="B32" s="60">
        <v>152.16599999999991</v>
      </c>
      <c r="D32" s="60">
        <v>182.86300000000023</v>
      </c>
      <c r="F32" s="60">
        <v>219.16399999999985</v>
      </c>
      <c r="H32" s="43">
        <f>+H30-H31</f>
        <v>60.220999999999947</v>
      </c>
      <c r="I32" s="21"/>
      <c r="J32" s="43">
        <f>+J30-J31</f>
        <v>57.695000000000014</v>
      </c>
      <c r="K32" s="21"/>
      <c r="L32" s="43">
        <f>+L30-L31</f>
        <v>63.738</v>
      </c>
      <c r="M32" s="21"/>
      <c r="N32" s="43">
        <f>+N30-N31</f>
        <v>78.725000000000009</v>
      </c>
      <c r="O32" s="77"/>
      <c r="P32" s="60">
        <f>+P30-P31</f>
        <v>260.37799999999993</v>
      </c>
      <c r="R32" s="43">
        <f>+R30-R31</f>
        <v>58.979999999999983</v>
      </c>
      <c r="S32" s="21"/>
      <c r="T32" s="43">
        <f>+T30-T31</f>
        <v>61.418000000000042</v>
      </c>
      <c r="U32" s="21"/>
      <c r="V32" s="43">
        <f>+V30-V31</f>
        <v>61.698000000000022</v>
      </c>
      <c r="W32" s="21"/>
      <c r="X32" s="43">
        <f>+X30-X31</f>
        <v>77.083999999999961</v>
      </c>
      <c r="Y32" s="77"/>
      <c r="Z32" s="60">
        <f>+Z30-Z31</f>
        <v>259.17999999999989</v>
      </c>
      <c r="AB32" s="43">
        <f>+AB30-AB31</f>
        <v>58.782000000000018</v>
      </c>
    </row>
    <row r="33" spans="1:29" s="3" customFormat="1" ht="12.75" customHeight="1" thickTop="1" x14ac:dyDescent="0.35">
      <c r="A33" s="7"/>
      <c r="B33" s="62"/>
      <c r="D33" s="62"/>
      <c r="F33" s="62"/>
      <c r="H33" s="61"/>
      <c r="J33" s="61"/>
      <c r="L33" s="61"/>
      <c r="N33" s="61"/>
      <c r="P33" s="62"/>
      <c r="R33" s="61"/>
      <c r="T33" s="61"/>
      <c r="V33" s="61"/>
      <c r="X33" s="61"/>
      <c r="Z33" s="62"/>
      <c r="AB33" s="61"/>
    </row>
    <row r="34" spans="1:29" s="3" customFormat="1" ht="12.75" customHeight="1" x14ac:dyDescent="0.2">
      <c r="A34" s="54" t="s">
        <v>66</v>
      </c>
      <c r="B34" s="65">
        <v>1.29</v>
      </c>
      <c r="C34" s="8"/>
      <c r="D34" s="65">
        <v>1.54</v>
      </c>
      <c r="E34" s="8"/>
      <c r="F34" s="65">
        <v>1.83</v>
      </c>
      <c r="G34" s="8"/>
      <c r="H34" s="63">
        <f>ROUND(H32/H36,2)</f>
        <v>0.51</v>
      </c>
      <c r="I34" s="8"/>
      <c r="J34" s="63">
        <f>ROUND(J32/J36,2)</f>
        <v>0.48</v>
      </c>
      <c r="K34" s="8"/>
      <c r="L34" s="63">
        <f>ROUND(L32/L36,2)</f>
        <v>0.54</v>
      </c>
      <c r="M34" s="8"/>
      <c r="N34" s="63">
        <f>ROUND(N32/N36,2)</f>
        <v>0.68</v>
      </c>
      <c r="O34" s="8"/>
      <c r="P34" s="65">
        <f>ROUND(P32/P36,2)</f>
        <v>2.2000000000000002</v>
      </c>
      <c r="Q34" s="8"/>
      <c r="R34" s="63">
        <f>ROUND(R32/R36,2)</f>
        <v>0.51</v>
      </c>
      <c r="S34" s="8"/>
      <c r="T34" s="63">
        <f>ROUND(T32/T36,2)</f>
        <v>0.53</v>
      </c>
      <c r="U34" s="8"/>
      <c r="V34" s="63">
        <f>ROUND(V32/V36,2)</f>
        <v>0.54</v>
      </c>
      <c r="W34" s="8"/>
      <c r="X34" s="63">
        <f>ROUND(X32/X36,2)</f>
        <v>0.68</v>
      </c>
      <c r="Y34" s="8"/>
      <c r="Z34" s="65">
        <f>ROUND(Z32/Z36,2)</f>
        <v>2.2599999999999998</v>
      </c>
      <c r="AA34" s="8"/>
      <c r="AB34" s="63">
        <f>ROUND(AB32/AB36,2)</f>
        <v>0.51</v>
      </c>
    </row>
    <row r="35" spans="1:29" s="3" customFormat="1" ht="12.75" customHeight="1" x14ac:dyDescent="0.2">
      <c r="A35" s="54" t="s">
        <v>67</v>
      </c>
      <c r="B35" s="65">
        <v>1.26</v>
      </c>
      <c r="C35" s="8"/>
      <c r="D35" s="65">
        <v>1.51</v>
      </c>
      <c r="E35" s="8"/>
      <c r="F35" s="65">
        <v>1.81</v>
      </c>
      <c r="G35" s="8"/>
      <c r="H35" s="63">
        <f>ROUND(H32/H37,2)</f>
        <v>0.5</v>
      </c>
      <c r="I35" s="8"/>
      <c r="J35" s="63">
        <f>ROUND(J32/J37,2)</f>
        <v>0.48</v>
      </c>
      <c r="K35" s="8"/>
      <c r="L35" s="63">
        <f>ROUND(L32/L37,2)</f>
        <v>0.53</v>
      </c>
      <c r="M35" s="8"/>
      <c r="N35" s="63">
        <f>ROUND(N32/N37,2)</f>
        <v>0.67</v>
      </c>
      <c r="O35" s="8"/>
      <c r="P35" s="65">
        <f>ROUND(P32/P37,2)</f>
        <v>2.17</v>
      </c>
      <c r="Q35" s="8"/>
      <c r="R35" s="63">
        <f>ROUND(R32/R37,2)</f>
        <v>0.5</v>
      </c>
      <c r="S35" s="8"/>
      <c r="T35" s="63">
        <f>ROUND(T32/T37,2)</f>
        <v>0.53</v>
      </c>
      <c r="U35" s="8"/>
      <c r="V35" s="63">
        <f>ROUND(V32/V37,2)</f>
        <v>0.53</v>
      </c>
      <c r="W35" s="8"/>
      <c r="X35" s="63">
        <f>ROUND(X32/X37,2)</f>
        <v>0.67</v>
      </c>
      <c r="Y35" s="8"/>
      <c r="Z35" s="65">
        <f>ROUND(Z32/Z37,2)</f>
        <v>2.23</v>
      </c>
      <c r="AA35" s="8"/>
      <c r="AB35" s="63">
        <f>ROUND(AB32/AB37,2)</f>
        <v>0.51</v>
      </c>
    </row>
    <row r="36" spans="1:29" s="3" customFormat="1" ht="12.75" customHeight="1" x14ac:dyDescent="0.2">
      <c r="A36" s="66" t="s">
        <v>68</v>
      </c>
      <c r="B36" s="20">
        <v>117.57899999999999</v>
      </c>
      <c r="C36" s="8"/>
      <c r="D36" s="20">
        <v>118.705</v>
      </c>
      <c r="E36" s="8"/>
      <c r="F36" s="20">
        <v>119.473</v>
      </c>
      <c r="G36" s="8"/>
      <c r="H36" s="19">
        <v>118.93300000000001</v>
      </c>
      <c r="I36" s="8"/>
      <c r="J36" s="19">
        <v>118.97799999999999</v>
      </c>
      <c r="K36" s="8"/>
      <c r="L36" s="19">
        <v>118.328</v>
      </c>
      <c r="M36" s="8"/>
      <c r="N36" s="19">
        <v>116.173</v>
      </c>
      <c r="O36" s="8"/>
      <c r="P36" s="20">
        <v>118.09399999999999</v>
      </c>
      <c r="Q36" s="8"/>
      <c r="R36" s="19">
        <v>115.34099999999999</v>
      </c>
      <c r="S36" s="8"/>
      <c r="T36" s="19">
        <v>114.944</v>
      </c>
      <c r="U36" s="8"/>
      <c r="V36" s="19">
        <v>114.764</v>
      </c>
      <c r="W36" s="8"/>
      <c r="X36" s="19">
        <v>113.99</v>
      </c>
      <c r="Y36" s="8"/>
      <c r="Z36" s="20">
        <v>114.77500000000001</v>
      </c>
      <c r="AA36" s="8"/>
      <c r="AB36" s="19">
        <v>114.151</v>
      </c>
    </row>
    <row r="37" spans="1:29" s="3" customFormat="1" ht="12.75" customHeight="1" x14ac:dyDescent="0.2">
      <c r="A37" s="66" t="s">
        <v>69</v>
      </c>
      <c r="B37" s="20">
        <v>120.974</v>
      </c>
      <c r="C37" s="8"/>
      <c r="D37" s="20">
        <v>120.998</v>
      </c>
      <c r="E37" s="8"/>
      <c r="F37" s="20">
        <v>121.24</v>
      </c>
      <c r="G37" s="8"/>
      <c r="H37" s="19">
        <v>121.1</v>
      </c>
      <c r="I37" s="8"/>
      <c r="J37" s="19">
        <v>120.69799999999999</v>
      </c>
      <c r="K37" s="8"/>
      <c r="L37" s="19">
        <v>119.901</v>
      </c>
      <c r="M37" s="8"/>
      <c r="N37" s="19">
        <v>118.27500000000001</v>
      </c>
      <c r="O37" s="8"/>
      <c r="P37" s="20">
        <v>119.98399999999999</v>
      </c>
      <c r="Q37" s="8"/>
      <c r="R37" s="19">
        <v>117.027</v>
      </c>
      <c r="S37" s="8"/>
      <c r="T37" s="19">
        <v>115.922</v>
      </c>
      <c r="U37" s="8"/>
      <c r="V37" s="19">
        <v>116.02500000000001</v>
      </c>
      <c r="W37" s="8"/>
      <c r="X37" s="19">
        <v>115.02500000000001</v>
      </c>
      <c r="Y37" s="8"/>
      <c r="Z37" s="20">
        <v>116.012</v>
      </c>
      <c r="AA37" s="8"/>
      <c r="AB37" s="19">
        <v>115.239</v>
      </c>
    </row>
    <row r="38" spans="1:29" s="3" customFormat="1" ht="12.75" customHeight="1" x14ac:dyDescent="0.2">
      <c r="A38" s="7"/>
      <c r="B38" s="67"/>
      <c r="D38" s="67"/>
      <c r="F38" s="67"/>
      <c r="H38" s="8"/>
      <c r="J38" s="8"/>
      <c r="L38" s="8"/>
      <c r="N38" s="8"/>
      <c r="P38" s="67"/>
      <c r="R38" s="8"/>
      <c r="T38" s="8"/>
      <c r="V38" s="8"/>
      <c r="X38" s="8"/>
      <c r="Z38" s="67"/>
      <c r="AB38" s="8"/>
    </row>
    <row r="39" spans="1:29" s="3" customFormat="1" ht="12.75" customHeight="1" x14ac:dyDescent="0.2">
      <c r="A39" s="7"/>
      <c r="B39" s="67"/>
      <c r="D39" s="67"/>
      <c r="F39" s="67"/>
      <c r="H39" s="8"/>
      <c r="J39" s="8"/>
      <c r="L39" s="8"/>
      <c r="N39" s="8"/>
      <c r="P39" s="67"/>
      <c r="R39" s="8"/>
      <c r="T39" s="8"/>
      <c r="V39" s="8"/>
      <c r="X39" s="8"/>
      <c r="Z39" s="67"/>
      <c r="AB39" s="8"/>
    </row>
    <row r="40" spans="1:29" s="3" customFormat="1" ht="12.75" customHeight="1" x14ac:dyDescent="0.2">
      <c r="A40" s="7"/>
      <c r="B40" s="67"/>
      <c r="D40" s="67"/>
      <c r="F40" s="67"/>
      <c r="P40" s="67"/>
      <c r="Z40" s="67"/>
    </row>
    <row r="41" spans="1:29" s="3" customFormat="1" ht="12.75" customHeight="1" x14ac:dyDescent="0.2">
      <c r="A41" s="68" t="s">
        <v>79</v>
      </c>
      <c r="B41" s="70">
        <f>B20/B15</f>
        <v>0.71473936668219962</v>
      </c>
      <c r="D41" s="70">
        <f>D20/D15</f>
        <v>0.72390642237418978</v>
      </c>
      <c r="F41" s="70">
        <f>F20/F15</f>
        <v>0.73393460930944265</v>
      </c>
      <c r="H41" s="69">
        <f>H20/H15</f>
        <v>0.73552973763176122</v>
      </c>
      <c r="J41" s="69">
        <f>J20/J15</f>
        <v>0.73510800121691522</v>
      </c>
      <c r="L41" s="69">
        <f>L20/L15</f>
        <v>0.75002227938948529</v>
      </c>
      <c r="M41" s="69"/>
      <c r="N41" s="69">
        <f>N20/N15</f>
        <v>0.76064594504249139</v>
      </c>
      <c r="P41" s="70">
        <f>P20/P15</f>
        <v>0.74582393374838762</v>
      </c>
      <c r="R41" s="69">
        <f>R20/R15</f>
        <v>0.73787655348390369</v>
      </c>
      <c r="T41" s="69">
        <f>T20/T15</f>
        <v>0.74978747161001358</v>
      </c>
      <c r="V41" s="69">
        <f>V20/V15</f>
        <v>0.76273696195117457</v>
      </c>
      <c r="W41" s="69"/>
      <c r="X41" s="69">
        <f>X20/X15</f>
        <v>0.77952758420255874</v>
      </c>
      <c r="Z41" s="70">
        <f>Z20/Z15</f>
        <v>0.75721679820127052</v>
      </c>
      <c r="AA41" s="71"/>
      <c r="AB41" s="69">
        <f>AB20/AB15</f>
        <v>0.7537133722565641</v>
      </c>
    </row>
    <row r="42" spans="1:29" s="3" customFormat="1" ht="12.75" customHeight="1" x14ac:dyDescent="0.2">
      <c r="A42" s="72" t="s">
        <v>155</v>
      </c>
      <c r="B42" s="70">
        <f>(B13-B17)/B13</f>
        <v>0.91357649835716781</v>
      </c>
      <c r="D42" s="70">
        <f>(D13-D17)/D13</f>
        <v>0.90904757057898555</v>
      </c>
      <c r="F42" s="70">
        <f>(F13-F17)/F13</f>
        <v>0.90297679336360359</v>
      </c>
      <c r="H42" s="69">
        <f>(H13-H17)/H13</f>
        <v>0.90218095870486315</v>
      </c>
      <c r="J42" s="69">
        <f>(J13-J17)/J13</f>
        <v>0.89373768613075655</v>
      </c>
      <c r="L42" s="69">
        <f>(L13-L17)/L13</f>
        <v>0.89994216310005781</v>
      </c>
      <c r="M42" s="69"/>
      <c r="N42" s="69">
        <f>(N13-N17)/N13</f>
        <v>0.90483432233012273</v>
      </c>
      <c r="P42" s="70">
        <f>(P13-P17)/P13</f>
        <v>0.90037031649691901</v>
      </c>
      <c r="R42" s="69">
        <f>(R13-R17)/R13</f>
        <v>0.88905316966383574</v>
      </c>
      <c r="T42" s="69">
        <f>(T13-T17)/T13</f>
        <v>0.88769791886793925</v>
      </c>
      <c r="V42" s="69">
        <f>(V13-V17)/V13</f>
        <v>0.89127114238874006</v>
      </c>
      <c r="W42" s="69"/>
      <c r="X42" s="69">
        <f>(X13-X17)/X13</f>
        <v>0.89668945677492906</v>
      </c>
      <c r="Z42" s="70">
        <f>(Z13-Z17)/Z13</f>
        <v>0.89121454838547176</v>
      </c>
      <c r="AA42" s="71"/>
      <c r="AB42" s="69">
        <f>(AB13-AB17)/AB13</f>
        <v>0.87687435661042734</v>
      </c>
    </row>
    <row r="43" spans="1:29" s="3" customFormat="1" ht="12.75" customHeight="1" x14ac:dyDescent="0.2">
      <c r="A43" s="72" t="s">
        <v>72</v>
      </c>
      <c r="B43" s="70">
        <f>(B14-B18)/B14</f>
        <v>4.3088152723189208E-2</v>
      </c>
      <c r="D43" s="70">
        <f>(D14-D18)/D14</f>
        <v>0.12034184098435045</v>
      </c>
      <c r="F43" s="70">
        <f>(F14-F18)/F14</f>
        <v>0.13280577410297961</v>
      </c>
      <c r="H43" s="69">
        <f>(H14-H18)/H14</f>
        <v>0.14924148671385074</v>
      </c>
      <c r="J43" s="69">
        <f>(J14-J18)/J14</f>
        <v>0.18822558384975518</v>
      </c>
      <c r="L43" s="69">
        <f>(L14-L18)/L14</f>
        <v>0.1456732924824391</v>
      </c>
      <c r="M43" s="69"/>
      <c r="N43" s="69">
        <f>(N14-N18)/N14</f>
        <v>0.10262187008588362</v>
      </c>
      <c r="P43" s="70">
        <f>(P14-P18)/P14</f>
        <v>0.1476607295898793</v>
      </c>
      <c r="R43" s="69">
        <f>(R14-R18)/R14</f>
        <v>0.13003271939661137</v>
      </c>
      <c r="T43" s="69">
        <f>(T14-T18)/T14</f>
        <v>0.15966710204628426</v>
      </c>
      <c r="V43" s="69">
        <f>(V14-V18)/V14</f>
        <v>0.16534408742032</v>
      </c>
      <c r="W43" s="69"/>
      <c r="X43" s="69">
        <f>(X14-X18)/X14</f>
        <v>0.13611013206725681</v>
      </c>
      <c r="Z43" s="70">
        <f>(Z14-Z18)/Z14</f>
        <v>0.14750131138724928</v>
      </c>
      <c r="AA43" s="71"/>
      <c r="AB43" s="69">
        <f>(AB14-AB18)/AB14</f>
        <v>0.1534726279946001</v>
      </c>
    </row>
    <row r="44" spans="1:29" s="3" customFormat="1" ht="12.75" customHeight="1" x14ac:dyDescent="0.2">
      <c r="A44" s="68" t="s">
        <v>80</v>
      </c>
      <c r="B44" s="70">
        <f>B28/B15</f>
        <v>0.17664410822919821</v>
      </c>
      <c r="C44" s="73"/>
      <c r="D44" s="70">
        <f>D28/D15</f>
        <v>0.19613420825901884</v>
      </c>
      <c r="E44" s="73"/>
      <c r="F44" s="70">
        <f>F28/F15</f>
        <v>0.22078921713806199</v>
      </c>
      <c r="G44" s="73"/>
      <c r="H44" s="73">
        <f>H28/H15</f>
        <v>0.25326767715626669</v>
      </c>
      <c r="I44" s="73"/>
      <c r="J44" s="73">
        <f>J28/J15</f>
        <v>0.2437055065409188</v>
      </c>
      <c r="K44" s="73"/>
      <c r="L44" s="73">
        <f>L28/L15</f>
        <v>0.24171949357462408</v>
      </c>
      <c r="M44" s="73"/>
      <c r="N44" s="73">
        <f>N28/N15</f>
        <v>0.26230782401204489</v>
      </c>
      <c r="O44" s="73"/>
      <c r="P44" s="70">
        <f>P28/P15</f>
        <v>0.25054041477938704</v>
      </c>
      <c r="Q44" s="73"/>
      <c r="R44" s="73">
        <f>R28/R15</f>
        <v>0.21359600545822799</v>
      </c>
      <c r="S44" s="73"/>
      <c r="T44" s="73">
        <f>T28/T15</f>
        <v>0.23400644563714121</v>
      </c>
      <c r="U44" s="73"/>
      <c r="V44" s="73">
        <f>V28/V15</f>
        <v>0.24080039750048546</v>
      </c>
      <c r="W44" s="73"/>
      <c r="X44" s="73">
        <f>X28/X15</f>
        <v>0.27965533320132596</v>
      </c>
      <c r="Y44" s="73"/>
      <c r="Z44" s="70">
        <f>Z28/Z15</f>
        <v>0.24169989778502446</v>
      </c>
      <c r="AA44" s="71"/>
      <c r="AB44" s="73">
        <f>AB28/AB15</f>
        <v>0.21300177693009603</v>
      </c>
    </row>
    <row r="45" spans="1:29" s="3" customFormat="1" ht="12.75" customHeight="1" x14ac:dyDescent="0.2">
      <c r="A45" s="72" t="s">
        <v>74</v>
      </c>
      <c r="B45" s="70">
        <f>B22/B15</f>
        <v>0.29435554548524862</v>
      </c>
      <c r="D45" s="70">
        <f>D22/D15</f>
        <v>0.29429152320365226</v>
      </c>
      <c r="F45" s="70">
        <f>F22/F15</f>
        <v>0.27721861271533638</v>
      </c>
      <c r="H45" s="73">
        <f>H22/H15</f>
        <v>0.25877356312995314</v>
      </c>
      <c r="I45" s="8"/>
      <c r="J45" s="73">
        <f>J22/J15</f>
        <v>0.25912686340127777</v>
      </c>
      <c r="K45" s="8"/>
      <c r="L45" s="73">
        <f>L22/L15</f>
        <v>0.26718929163423777</v>
      </c>
      <c r="M45" s="8"/>
      <c r="N45" s="73">
        <f>N22/N15</f>
        <v>0.25794590128737871</v>
      </c>
      <c r="O45" s="8"/>
      <c r="P45" s="70">
        <f>P22/P15</f>
        <v>0.26072068065756848</v>
      </c>
      <c r="R45" s="73">
        <f>R22/R15</f>
        <v>0.26398670933711899</v>
      </c>
      <c r="S45" s="8"/>
      <c r="T45" s="73">
        <f>T22/T15</f>
        <v>0.25478030274193342</v>
      </c>
      <c r="U45" s="8"/>
      <c r="V45" s="73">
        <f>V22/V15</f>
        <v>0.27732239987627472</v>
      </c>
      <c r="W45" s="8"/>
      <c r="X45" s="73">
        <f>X22/X15</f>
        <v>0.26100397938131165</v>
      </c>
      <c r="Y45" s="8"/>
      <c r="Z45" s="70">
        <f>Z22/Z15</f>
        <v>0.26415860079055781</v>
      </c>
      <c r="AA45" s="71"/>
      <c r="AB45" s="73">
        <f>AB22/AB15</f>
        <v>0.26807288843760507</v>
      </c>
      <c r="AC45" s="69"/>
    </row>
    <row r="46" spans="1:29" s="3" customFormat="1" ht="12.75" customHeight="1" x14ac:dyDescent="0.2">
      <c r="A46" s="72" t="s">
        <v>75</v>
      </c>
      <c r="B46" s="70">
        <f>B23/B15</f>
        <v>0.17344973088054857</v>
      </c>
      <c r="D46" s="70">
        <f>D23/D15</f>
        <v>0.1638888094079945</v>
      </c>
      <c r="F46" s="70">
        <f>F23/F15</f>
        <v>0.16453181302137321</v>
      </c>
      <c r="H46" s="73">
        <f>H23/H15</f>
        <v>0.15506347618681238</v>
      </c>
      <c r="I46" s="8"/>
      <c r="J46" s="73">
        <f>J23/J15</f>
        <v>0.1627137207179799</v>
      </c>
      <c r="K46" s="8"/>
      <c r="L46" s="73">
        <f>L23/L15</f>
        <v>0.16389907139504625</v>
      </c>
      <c r="M46" s="8"/>
      <c r="N46" s="73">
        <f>N23/N15</f>
        <v>0.15581983764407253</v>
      </c>
      <c r="O46" s="8"/>
      <c r="P46" s="70">
        <f>P23/P15</f>
        <v>0.15930971215182271</v>
      </c>
      <c r="R46" s="73">
        <f>R23/R15</f>
        <v>0.17748725699564932</v>
      </c>
      <c r="S46" s="8"/>
      <c r="T46" s="73">
        <f>T23/T15</f>
        <v>0.18130574905155239</v>
      </c>
      <c r="U46" s="8"/>
      <c r="V46" s="73">
        <f>V23/V15</f>
        <v>0.16831249856037697</v>
      </c>
      <c r="W46" s="8"/>
      <c r="X46" s="73">
        <f>X23/X15</f>
        <v>0.15831933417221844</v>
      </c>
      <c r="Y46" s="8"/>
      <c r="Z46" s="70">
        <f>Z23/Z15</f>
        <v>0.17146224598149015</v>
      </c>
      <c r="AA46" s="71"/>
      <c r="AB46" s="73">
        <f>AB23/AB15</f>
        <v>0.1892053211852604</v>
      </c>
      <c r="AC46" s="69"/>
    </row>
    <row r="47" spans="1:29" s="3" customFormat="1" ht="12.75" customHeight="1" x14ac:dyDescent="0.2">
      <c r="A47" s="72" t="s">
        <v>76</v>
      </c>
      <c r="B47" s="70">
        <f>B24/B15</f>
        <v>7.0289982087204106E-2</v>
      </c>
      <c r="D47" s="70">
        <f>D24/D15</f>
        <v>6.9591881503524175E-2</v>
      </c>
      <c r="F47" s="70">
        <f>F24/F15</f>
        <v>7.1394966434671012E-2</v>
      </c>
      <c r="H47" s="73">
        <f>H24/H15</f>
        <v>6.8425021158728949E-2</v>
      </c>
      <c r="I47" s="8"/>
      <c r="J47" s="73">
        <f>J24/J15</f>
        <v>6.956191055673866E-2</v>
      </c>
      <c r="K47" s="8"/>
      <c r="L47" s="73">
        <f>L24/L15</f>
        <v>7.7214422785577205E-2</v>
      </c>
      <c r="M47" s="8"/>
      <c r="N47" s="73">
        <f>N24/N15</f>
        <v>8.4572382098995258E-2</v>
      </c>
      <c r="O47" s="8"/>
      <c r="P47" s="70">
        <f>P24/P15</f>
        <v>7.5253126159609371E-2</v>
      </c>
      <c r="R47" s="73">
        <f>R24/R15</f>
        <v>8.2806581692907361E-2</v>
      </c>
      <c r="S47" s="8"/>
      <c r="T47" s="73">
        <f>T24/T15</f>
        <v>7.969497417938666E-2</v>
      </c>
      <c r="U47" s="8"/>
      <c r="V47" s="73">
        <f>V24/V15</f>
        <v>7.6301666014037553E-2</v>
      </c>
      <c r="W47" s="8"/>
      <c r="X47" s="73">
        <f>X24/X15</f>
        <v>8.0548937447702765E-2</v>
      </c>
      <c r="Y47" s="8"/>
      <c r="Z47" s="70">
        <f>Z24/Z15</f>
        <v>7.9896053644198176E-2</v>
      </c>
      <c r="AA47" s="71"/>
      <c r="AB47" s="73">
        <f>AB24/AB15</f>
        <v>8.3433385703602564E-2</v>
      </c>
      <c r="AC47" s="69"/>
    </row>
    <row r="48" spans="1:29" s="3" customFormat="1" ht="12.75" customHeight="1" x14ac:dyDescent="0.2">
      <c r="A48" s="68" t="s">
        <v>77</v>
      </c>
      <c r="B48" s="70">
        <f>B31/B30</f>
        <v>0.23586895388076501</v>
      </c>
      <c r="C48" s="73"/>
      <c r="D48" s="70">
        <f>D31/D30</f>
        <v>0.23861015114294018</v>
      </c>
      <c r="E48" s="73"/>
      <c r="F48" s="70">
        <f>F31/F30</f>
        <v>0.21576738244418775</v>
      </c>
      <c r="G48" s="73"/>
      <c r="H48" s="73">
        <f>H31/H30</f>
        <v>0.252284579091135</v>
      </c>
      <c r="I48" s="73"/>
      <c r="J48" s="73">
        <f>J31/J30</f>
        <v>0.25472136822796909</v>
      </c>
      <c r="K48" s="73"/>
      <c r="L48" s="73">
        <f>L31/L30</f>
        <v>0.1941385457625833</v>
      </c>
      <c r="M48" s="73"/>
      <c r="N48" s="73">
        <f>N31/N30</f>
        <v>0.1514690982776089</v>
      </c>
      <c r="O48" s="73"/>
      <c r="P48" s="70">
        <f>P31/P30</f>
        <v>0.21055472009314063</v>
      </c>
      <c r="Q48" s="73"/>
      <c r="R48" s="73">
        <f>R31/R30</f>
        <v>0.1142681223625524</v>
      </c>
      <c r="S48" s="73"/>
      <c r="T48" s="73">
        <f>T31/T30</f>
        <v>0.12472566623913346</v>
      </c>
      <c r="U48" s="73"/>
      <c r="V48" s="73">
        <f>V31/V30</f>
        <v>0.1123994763418739</v>
      </c>
      <c r="W48" s="73"/>
      <c r="X48" s="73">
        <f>X31/X30</f>
        <v>7.0896511824120753E-2</v>
      </c>
      <c r="Y48" s="73"/>
      <c r="Z48" s="70">
        <f>Z31/Z30</f>
        <v>0.10391514196019863</v>
      </c>
      <c r="AA48" s="71"/>
      <c r="AB48" s="73">
        <f>AB31/AB30</f>
        <v>-1.001735425007302E-2</v>
      </c>
    </row>
    <row r="49" spans="1:26" s="3" customFormat="1" ht="12.75" customHeight="1" thickBot="1" x14ac:dyDescent="0.25">
      <c r="A49" s="7"/>
      <c r="B49" s="74"/>
      <c r="D49" s="74"/>
      <c r="F49" s="74"/>
      <c r="P49" s="74"/>
      <c r="R49" s="75"/>
      <c r="Z49" s="74"/>
    </row>
    <row r="50" spans="1:26" s="3" customFormat="1" ht="12.75" customHeight="1" x14ac:dyDescent="0.2"/>
    <row r="51" spans="1:26" s="3" customFormat="1" ht="12.75" customHeight="1" x14ac:dyDescent="0.2"/>
    <row r="52" spans="1:26" s="3" customFormat="1" ht="12.75" customHeight="1" x14ac:dyDescent="0.2"/>
    <row r="53" spans="1:26" s="3" customFormat="1" ht="12.75" customHeight="1" x14ac:dyDescent="0.2"/>
    <row r="54" spans="1:26" s="3" customFormat="1" ht="12.75" customHeight="1" x14ac:dyDescent="0.2"/>
    <row r="55" spans="1:26" s="3" customFormat="1" ht="12.75" customHeight="1" x14ac:dyDescent="0.2"/>
    <row r="56" spans="1:26" s="3" customFormat="1" ht="12.75" customHeight="1" x14ac:dyDescent="0.2"/>
    <row r="57" spans="1:26" s="3" customFormat="1" ht="12.75" customHeight="1" x14ac:dyDescent="0.2"/>
    <row r="58" spans="1:26" s="3" customFormat="1" ht="12.75" customHeight="1" x14ac:dyDescent="0.2"/>
    <row r="59" spans="1:26" s="3" customFormat="1" ht="12.75" customHeight="1" x14ac:dyDescent="0.2"/>
    <row r="60" spans="1:26" s="3" customFormat="1" ht="12.75" customHeight="1" x14ac:dyDescent="0.2"/>
    <row r="61" spans="1:26" s="3" customFormat="1" ht="12.75" customHeight="1" x14ac:dyDescent="0.2"/>
    <row r="62" spans="1:26" s="3" customFormat="1" ht="12.75" customHeight="1" x14ac:dyDescent="0.2"/>
    <row r="63" spans="1:26" s="3" customFormat="1" ht="12.75" customHeight="1" x14ac:dyDescent="0.2"/>
    <row r="64" spans="1:26" s="3" customFormat="1" ht="12.75" customHeight="1" x14ac:dyDescent="0.2"/>
    <row r="65" s="3" customFormat="1" ht="12.75" customHeight="1" x14ac:dyDescent="0.2"/>
    <row r="66" s="3" customFormat="1" ht="12.75" customHeight="1" x14ac:dyDescent="0.2"/>
    <row r="67" s="3" customFormat="1" ht="12.75" customHeight="1" x14ac:dyDescent="0.2"/>
    <row r="68" s="3" customFormat="1" ht="12.75" customHeight="1" x14ac:dyDescent="0.2"/>
    <row r="69" s="3" customFormat="1" ht="12.75" customHeight="1" x14ac:dyDescent="0.2"/>
    <row r="70" s="3" customFormat="1" ht="12.75" customHeight="1" x14ac:dyDescent="0.2"/>
    <row r="71" s="3" customFormat="1" ht="12.75" customHeight="1" x14ac:dyDescent="0.2"/>
    <row r="72" s="3" customFormat="1" ht="12.75" customHeight="1" x14ac:dyDescent="0.2"/>
    <row r="73" s="3" customFormat="1" ht="12.75" customHeight="1" x14ac:dyDescent="0.2"/>
    <row r="74" s="3" customFormat="1" ht="12.75" customHeight="1" x14ac:dyDescent="0.2"/>
    <row r="75" s="3" customFormat="1" ht="12.75" customHeight="1" x14ac:dyDescent="0.2"/>
    <row r="76" s="3" customFormat="1" ht="12.75" customHeight="1" x14ac:dyDescent="0.2"/>
    <row r="77" s="3" customFormat="1" x14ac:dyDescent="0.2"/>
    <row r="78" s="3" customFormat="1" x14ac:dyDescent="0.2"/>
    <row r="79" s="3" customFormat="1" x14ac:dyDescent="0.2"/>
    <row r="80" s="3" customFormat="1" x14ac:dyDescent="0.2"/>
    <row r="81" spans="1:22" s="3" customFormat="1" x14ac:dyDescent="0.2"/>
    <row r="82" spans="1:22" x14ac:dyDescent="0.2">
      <c r="A82" s="3"/>
      <c r="U82" s="3"/>
      <c r="V82" s="3"/>
    </row>
    <row r="83" spans="1:22" x14ac:dyDescent="0.2">
      <c r="U83" s="3"/>
      <c r="V83" s="3"/>
    </row>
    <row r="84" spans="1:22" x14ac:dyDescent="0.2">
      <c r="U84" s="3"/>
      <c r="V84" s="3"/>
    </row>
    <row r="85" spans="1:22" x14ac:dyDescent="0.2">
      <c r="U85" s="3"/>
      <c r="V85" s="3"/>
    </row>
    <row r="86" spans="1:22" x14ac:dyDescent="0.2">
      <c r="U86" s="3"/>
      <c r="V86" s="3"/>
    </row>
    <row r="87" spans="1:22" x14ac:dyDescent="0.2">
      <c r="U87" s="3"/>
      <c r="V87" s="3"/>
    </row>
    <row r="88" spans="1:22" x14ac:dyDescent="0.2">
      <c r="U88" s="3"/>
      <c r="V88" s="3"/>
    </row>
    <row r="89" spans="1:22" x14ac:dyDescent="0.2">
      <c r="U89" s="3"/>
      <c r="V89" s="3"/>
    </row>
    <row r="90" spans="1:22" x14ac:dyDescent="0.2">
      <c r="U90" s="3"/>
      <c r="V90" s="3"/>
    </row>
    <row r="91" spans="1:22" x14ac:dyDescent="0.2">
      <c r="U91" s="3"/>
      <c r="V91" s="3"/>
    </row>
    <row r="92" spans="1:22" x14ac:dyDescent="0.2">
      <c r="U92" s="3"/>
      <c r="V92" s="3"/>
    </row>
    <row r="93" spans="1:22" x14ac:dyDescent="0.2">
      <c r="U93" s="3"/>
      <c r="V93" s="3"/>
    </row>
    <row r="94" spans="1:22" x14ac:dyDescent="0.2">
      <c r="U94" s="3"/>
      <c r="V94" s="3"/>
    </row>
    <row r="95" spans="1:22" x14ac:dyDescent="0.2">
      <c r="U95" s="3"/>
      <c r="V95" s="3"/>
    </row>
    <row r="96" spans="1:22" x14ac:dyDescent="0.2">
      <c r="U96" s="3"/>
      <c r="V96" s="3"/>
    </row>
    <row r="97" spans="21:22" x14ac:dyDescent="0.2">
      <c r="U97" s="3"/>
      <c r="V97" s="3"/>
    </row>
  </sheetData>
  <mergeCells count="4">
    <mergeCell ref="R3:Z3"/>
    <mergeCell ref="H5:N5"/>
    <mergeCell ref="R5:X5"/>
    <mergeCell ref="H3:P3"/>
  </mergeCells>
  <printOptions horizontalCentered="1"/>
  <pageMargins left="0.7" right="0.7" top="1" bottom="0.75" header="0.3" footer="0.3"/>
  <pageSetup paperSize="3" scale="96" orientation="landscape" r:id="rId1"/>
  <headerFooter alignWithMargins="0">
    <oddHeader>&amp;L&amp;G</oddHeader>
    <oddFooter>&amp;C&amp;8PTC Investor Relations
Tel: (781) 370 6359</oddFooter>
  </headerFooter>
  <ignoredErrors>
    <ignoredError sqref="P11 P13 Z30 Z14 Z12" formula="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B118"/>
  <sheetViews>
    <sheetView zoomScale="85" zoomScaleNormal="85" workbookViewId="0">
      <pane xSplit="1" ySplit="6" topLeftCell="B7" activePane="bottomRight" state="frozen"/>
      <selection activeCell="AB20" sqref="AB20"/>
      <selection pane="topRight" activeCell="AB20" sqref="AB20"/>
      <selection pane="bottomLeft" activeCell="AB20" sqref="AB20"/>
      <selection pane="bottomRight" activeCell="AC45" sqref="AC45"/>
    </sheetView>
  </sheetViews>
  <sheetFormatPr defaultColWidth="9.140625" defaultRowHeight="12.75" x14ac:dyDescent="0.2"/>
  <cols>
    <col min="1" max="1" width="64.85546875" style="84" customWidth="1"/>
    <col min="2" max="2" width="11.7109375" style="83" customWidth="1"/>
    <col min="3" max="3" width="1.28515625" style="83" customWidth="1"/>
    <col min="4" max="4" width="11.7109375" style="83" customWidth="1"/>
    <col min="5" max="5" width="1.28515625" style="83" customWidth="1"/>
    <col min="6" max="6" width="11.7109375" style="83" customWidth="1"/>
    <col min="7" max="7" width="1.28515625" style="83" customWidth="1"/>
    <col min="8" max="8" width="10" style="83" bestFit="1" customWidth="1"/>
    <col min="9" max="9" width="1.28515625" style="83" customWidth="1"/>
    <col min="10" max="10" width="10.140625" style="83" bestFit="1" customWidth="1"/>
    <col min="11" max="11" width="1.140625" style="83" customWidth="1"/>
    <col min="12" max="12" width="11" style="83" customWidth="1"/>
    <col min="13" max="13" width="1.140625" style="83" customWidth="1"/>
    <col min="14" max="14" width="10.5703125" style="83" customWidth="1"/>
    <col min="15" max="15" width="1.140625" style="83" customWidth="1"/>
    <col min="16" max="16" width="11.7109375" style="83" customWidth="1"/>
    <col min="17" max="17" width="1.28515625" style="83" customWidth="1"/>
    <col min="18" max="18" width="10" style="83" bestFit="1" customWidth="1"/>
    <col min="19" max="19" width="1.140625" style="83" customWidth="1"/>
    <col min="20" max="20" width="10" style="83" bestFit="1" customWidth="1"/>
    <col min="21" max="21" width="1.140625" style="83" customWidth="1"/>
    <col min="22" max="22" width="10.85546875" style="83" customWidth="1"/>
    <col min="23" max="23" width="1.140625" style="83" customWidth="1"/>
    <col min="24" max="24" width="9.85546875" style="83" bestFit="1" customWidth="1"/>
    <col min="25" max="25" width="1.140625" style="83" customWidth="1"/>
    <col min="26" max="26" width="11.7109375" style="83" customWidth="1"/>
    <col min="27" max="27" width="1" style="83" customWidth="1"/>
    <col min="28" max="28" width="10" style="83" bestFit="1" customWidth="1"/>
    <col min="29" max="16384" width="9.140625" style="83"/>
  </cols>
  <sheetData>
    <row r="1" spans="1:28" ht="12.75" customHeight="1" x14ac:dyDescent="0.2">
      <c r="A1" s="81" t="s">
        <v>81</v>
      </c>
      <c r="B1" s="82"/>
      <c r="C1" s="82"/>
      <c r="D1" s="82"/>
      <c r="E1" s="82"/>
      <c r="F1" s="82"/>
      <c r="G1" s="82"/>
      <c r="H1" s="82"/>
      <c r="I1" s="82"/>
      <c r="J1" s="82"/>
      <c r="K1" s="82"/>
      <c r="L1" s="82"/>
      <c r="M1" s="82"/>
      <c r="N1" s="82"/>
      <c r="O1" s="82"/>
      <c r="P1" s="82"/>
      <c r="Q1" s="82"/>
      <c r="R1" s="82"/>
      <c r="S1" s="82"/>
      <c r="T1" s="82"/>
      <c r="U1" s="82"/>
      <c r="V1" s="82"/>
    </row>
    <row r="2" spans="1:28" ht="12.75" customHeight="1" thickBot="1" x14ac:dyDescent="0.25"/>
    <row r="3" spans="1:28" s="84" customFormat="1" ht="12.75" customHeight="1" thickBot="1" x14ac:dyDescent="0.25">
      <c r="B3" s="27" t="s">
        <v>6</v>
      </c>
      <c r="C3" s="1"/>
      <c r="D3" s="27" t="s">
        <v>5</v>
      </c>
      <c r="E3" s="1"/>
      <c r="F3" s="27" t="s">
        <v>4</v>
      </c>
      <c r="H3" s="266" t="s">
        <v>3</v>
      </c>
      <c r="I3" s="267"/>
      <c r="J3" s="267"/>
      <c r="K3" s="267"/>
      <c r="L3" s="267"/>
      <c r="M3" s="267"/>
      <c r="N3" s="267"/>
      <c r="O3" s="267"/>
      <c r="P3" s="268"/>
      <c r="R3" s="266" t="s">
        <v>2</v>
      </c>
      <c r="S3" s="267"/>
      <c r="T3" s="267"/>
      <c r="U3" s="267"/>
      <c r="V3" s="267"/>
      <c r="W3" s="267"/>
      <c r="X3" s="267"/>
      <c r="Y3" s="267"/>
      <c r="Z3" s="268"/>
      <c r="AB3" s="27" t="s">
        <v>149</v>
      </c>
    </row>
    <row r="4" spans="1:28" s="84" customFormat="1" ht="12.75" customHeight="1" thickBot="1" x14ac:dyDescent="0.25">
      <c r="R4" s="3"/>
      <c r="S4" s="3"/>
      <c r="T4" s="3"/>
      <c r="U4" s="3"/>
      <c r="V4" s="3"/>
    </row>
    <row r="5" spans="1:28" s="84" customFormat="1" ht="12.75" customHeight="1" x14ac:dyDescent="0.2">
      <c r="B5" s="87" t="s">
        <v>1</v>
      </c>
      <c r="D5" s="87" t="s">
        <v>1</v>
      </c>
      <c r="F5" s="87" t="s">
        <v>1</v>
      </c>
      <c r="H5" s="269" t="s">
        <v>0</v>
      </c>
      <c r="I5" s="269"/>
      <c r="J5" s="269"/>
      <c r="K5" s="269"/>
      <c r="L5" s="269"/>
      <c r="M5" s="269"/>
      <c r="N5" s="269"/>
      <c r="P5" s="87" t="s">
        <v>1</v>
      </c>
      <c r="R5" s="269" t="s">
        <v>45</v>
      </c>
      <c r="S5" s="269"/>
      <c r="T5" s="269"/>
      <c r="U5" s="269"/>
      <c r="V5" s="269"/>
      <c r="W5" s="269"/>
      <c r="X5" s="269"/>
      <c r="Z5" s="87" t="s">
        <v>1</v>
      </c>
      <c r="AB5" s="147" t="s">
        <v>150</v>
      </c>
    </row>
    <row r="6" spans="1:28" s="90" customFormat="1" ht="12.75" customHeight="1" x14ac:dyDescent="0.2">
      <c r="A6" s="88"/>
      <c r="B6" s="91">
        <v>40816</v>
      </c>
      <c r="D6" s="91">
        <v>41182</v>
      </c>
      <c r="F6" s="91">
        <v>41547</v>
      </c>
      <c r="H6" s="89">
        <v>41636</v>
      </c>
      <c r="J6" s="89">
        <v>41727</v>
      </c>
      <c r="L6" s="89">
        <v>41818</v>
      </c>
      <c r="N6" s="89">
        <v>41912</v>
      </c>
      <c r="P6" s="91">
        <v>41912</v>
      </c>
      <c r="R6" s="11">
        <v>42007</v>
      </c>
      <c r="S6" s="13"/>
      <c r="T6" s="11">
        <v>42098</v>
      </c>
      <c r="U6" s="2"/>
      <c r="V6" s="11">
        <v>42189</v>
      </c>
      <c r="X6" s="89">
        <v>41912</v>
      </c>
      <c r="Z6" s="91">
        <v>42277</v>
      </c>
      <c r="AB6" s="11">
        <v>42371</v>
      </c>
    </row>
    <row r="7" spans="1:28" s="97" customFormat="1" ht="12.75" customHeight="1" x14ac:dyDescent="0.2">
      <c r="A7" s="92" t="s">
        <v>82</v>
      </c>
      <c r="B7" s="96"/>
      <c r="C7" s="94"/>
      <c r="D7" s="96"/>
      <c r="E7" s="94"/>
      <c r="F7" s="96"/>
      <c r="G7" s="94"/>
      <c r="H7" s="93"/>
      <c r="I7" s="94"/>
      <c r="J7" s="93"/>
      <c r="K7" s="94"/>
      <c r="L7" s="95"/>
      <c r="M7" s="94"/>
      <c r="N7" s="95"/>
      <c r="O7" s="94"/>
      <c r="P7" s="96"/>
      <c r="Q7" s="94"/>
      <c r="R7" s="93"/>
      <c r="S7" s="93"/>
      <c r="T7" s="95"/>
      <c r="U7" s="94"/>
      <c r="V7" s="95"/>
      <c r="X7" s="95"/>
      <c r="Y7" s="94"/>
      <c r="Z7" s="96"/>
      <c r="AB7" s="93"/>
    </row>
    <row r="8" spans="1:28" s="85" customFormat="1" ht="12.75" customHeight="1" x14ac:dyDescent="0.2">
      <c r="A8" s="98" t="s">
        <v>83</v>
      </c>
      <c r="B8" s="100">
        <f>+'GAAP Income Statement'!B15</f>
        <v>1166.9490000000001</v>
      </c>
      <c r="C8" s="86"/>
      <c r="D8" s="100">
        <f>+'GAAP Income Statement'!D15</f>
        <v>1255.6790000000001</v>
      </c>
      <c r="E8" s="86"/>
      <c r="F8" s="100">
        <f>+'GAAP Income Statement'!F15</f>
        <v>1293.5410000000002</v>
      </c>
      <c r="G8" s="86"/>
      <c r="H8" s="99">
        <f>+'GAAP Income Statement'!H15</f>
        <v>324.92499999999995</v>
      </c>
      <c r="I8" s="86"/>
      <c r="J8" s="99">
        <f>+'GAAP Income Statement'!J15</f>
        <v>328.70000000000005</v>
      </c>
      <c r="K8" s="86"/>
      <c r="L8" s="99">
        <f>+'GAAP Income Statement'!L15</f>
        <v>336.63400000000001</v>
      </c>
      <c r="M8" s="86"/>
      <c r="N8" s="99">
        <f>+'GAAP Income Statement'!N15</f>
        <v>366.70800000000003</v>
      </c>
      <c r="O8" s="86"/>
      <c r="P8" s="100">
        <f>+'GAAP Income Statement'!P15</f>
        <v>1356.9670000000001</v>
      </c>
      <c r="Q8" s="86"/>
      <c r="R8" s="99">
        <f>+'GAAP Income Statement'!R15</f>
        <v>325.44200000000001</v>
      </c>
      <c r="S8" s="86"/>
      <c r="T8" s="99">
        <f>+'GAAP Income Statement'!T15</f>
        <v>314.11900000000003</v>
      </c>
      <c r="U8" s="86"/>
      <c r="V8" s="99">
        <f>+'GAAP Income Statement'!V15</f>
        <v>303.113</v>
      </c>
      <c r="W8" s="86"/>
      <c r="X8" s="99">
        <f>+'GAAP Income Statement'!X15</f>
        <v>312.56799999999998</v>
      </c>
      <c r="Y8" s="86"/>
      <c r="Z8" s="100">
        <f>+'GAAP Income Statement'!Z15</f>
        <v>1255.2420000000002</v>
      </c>
      <c r="AB8" s="99">
        <f>+'GAAP Income Statement'!AB15</f>
        <v>291.017</v>
      </c>
    </row>
    <row r="9" spans="1:28" s="85" customFormat="1" ht="12.75" customHeight="1" x14ac:dyDescent="0.2">
      <c r="A9" s="101" t="s">
        <v>158</v>
      </c>
      <c r="B9" s="102">
        <v>0</v>
      </c>
      <c r="C9" s="86"/>
      <c r="D9" s="102">
        <v>0</v>
      </c>
      <c r="E9" s="86"/>
      <c r="F9" s="102">
        <v>0</v>
      </c>
      <c r="G9" s="86"/>
      <c r="H9" s="57">
        <v>0</v>
      </c>
      <c r="I9" s="86"/>
      <c r="J9" s="57">
        <v>0</v>
      </c>
      <c r="K9" s="86"/>
      <c r="L9" s="45">
        <v>0</v>
      </c>
      <c r="M9" s="86"/>
      <c r="N9" s="45">
        <v>0.47</v>
      </c>
      <c r="O9" s="86"/>
      <c r="P9" s="102">
        <f>SUM(H9,J9,L9,N9)</f>
        <v>0.47</v>
      </c>
      <c r="Q9" s="86"/>
      <c r="R9" s="57">
        <v>0.68200000000000005</v>
      </c>
      <c r="S9" s="57"/>
      <c r="T9" s="57">
        <v>0.59</v>
      </c>
      <c r="U9" s="86"/>
      <c r="V9" s="57">
        <v>0.35199999999999998</v>
      </c>
      <c r="X9" s="57">
        <v>0.20699999999999999</v>
      </c>
      <c r="Y9" s="86"/>
      <c r="Z9" s="102">
        <f>SUM(R9,T9,V9,X9)</f>
        <v>1.8310000000000002</v>
      </c>
      <c r="AB9" s="57">
        <v>0.188</v>
      </c>
    </row>
    <row r="10" spans="1:28" s="85" customFormat="1" ht="12.75" customHeight="1" x14ac:dyDescent="0.2">
      <c r="A10" s="101" t="s">
        <v>84</v>
      </c>
      <c r="B10" s="102">
        <v>2.6059999999999999</v>
      </c>
      <c r="C10" s="86"/>
      <c r="D10" s="102">
        <v>2.4849999999999999</v>
      </c>
      <c r="E10" s="86"/>
      <c r="F10" s="102">
        <v>3.0339999999999998</v>
      </c>
      <c r="G10" s="86"/>
      <c r="H10" s="57">
        <v>0</v>
      </c>
      <c r="I10" s="86"/>
      <c r="J10" s="57">
        <v>0</v>
      </c>
      <c r="K10" s="86"/>
      <c r="L10" s="57">
        <v>0</v>
      </c>
      <c r="M10" s="86"/>
      <c r="N10" s="57">
        <v>0.34799999999999998</v>
      </c>
      <c r="O10" s="86"/>
      <c r="P10" s="102">
        <f>SUM(H10,J10,L10,N10)</f>
        <v>0.34799999999999998</v>
      </c>
      <c r="Q10" s="86"/>
      <c r="R10" s="57">
        <v>0.46500000000000002</v>
      </c>
      <c r="S10" s="57"/>
      <c r="T10" s="57">
        <v>0.26500000000000001</v>
      </c>
      <c r="U10" s="86"/>
      <c r="V10" s="57">
        <v>0.125</v>
      </c>
      <c r="X10" s="57">
        <v>4.2999999999999997E-2</v>
      </c>
      <c r="Y10" s="86"/>
      <c r="Z10" s="102">
        <f>SUM(R10,T10,V10,X10)</f>
        <v>0.89800000000000002</v>
      </c>
      <c r="AB10" s="57">
        <v>0</v>
      </c>
    </row>
    <row r="11" spans="1:28" s="85" customFormat="1" ht="12.75" customHeight="1" x14ac:dyDescent="0.2">
      <c r="A11" s="101" t="s">
        <v>157</v>
      </c>
      <c r="B11" s="102">
        <v>0</v>
      </c>
      <c r="C11" s="86"/>
      <c r="D11" s="102">
        <v>0</v>
      </c>
      <c r="E11" s="86"/>
      <c r="F11" s="102">
        <v>0</v>
      </c>
      <c r="G11" s="86"/>
      <c r="H11" s="57">
        <v>0</v>
      </c>
      <c r="I11" s="86"/>
      <c r="J11" s="57">
        <v>0</v>
      </c>
      <c r="K11" s="86"/>
      <c r="L11" s="57">
        <v>0</v>
      </c>
      <c r="M11" s="86"/>
      <c r="N11" s="57">
        <v>0.28799999999999998</v>
      </c>
      <c r="O11" s="86"/>
      <c r="P11" s="102">
        <f>SUM(H11,J11,L11,N11)</f>
        <v>0.28799999999999998</v>
      </c>
      <c r="Q11" s="86"/>
      <c r="R11" s="57">
        <v>0</v>
      </c>
      <c r="S11" s="57"/>
      <c r="T11" s="57">
        <v>0</v>
      </c>
      <c r="U11" s="86"/>
      <c r="V11" s="57"/>
      <c r="X11" s="57"/>
      <c r="Y11" s="86"/>
      <c r="Z11" s="102">
        <f>SUM(R11,T11,V11,X11)</f>
        <v>0</v>
      </c>
      <c r="AB11" s="57">
        <v>0</v>
      </c>
    </row>
    <row r="12" spans="1:28" s="85" customFormat="1" ht="12.75" customHeight="1" x14ac:dyDescent="0.2">
      <c r="A12" s="101" t="s">
        <v>159</v>
      </c>
      <c r="B12" s="103">
        <v>0</v>
      </c>
      <c r="C12" s="86"/>
      <c r="D12" s="103">
        <v>0</v>
      </c>
      <c r="E12" s="86"/>
      <c r="F12" s="103">
        <v>1E-3</v>
      </c>
      <c r="G12" s="86"/>
      <c r="H12" s="41">
        <v>0</v>
      </c>
      <c r="I12" s="86"/>
      <c r="J12" s="41">
        <v>0</v>
      </c>
      <c r="K12" s="86"/>
      <c r="L12" s="41">
        <v>0</v>
      </c>
      <c r="M12" s="86"/>
      <c r="N12" s="41">
        <v>0.14299999999999999</v>
      </c>
      <c r="O12" s="86"/>
      <c r="P12" s="103">
        <f>SUM(H12,J12,L12,N12)</f>
        <v>0.14299999999999999</v>
      </c>
      <c r="Q12" s="86"/>
      <c r="R12" s="41">
        <v>0.25700000000000001</v>
      </c>
      <c r="S12" s="45"/>
      <c r="T12" s="41">
        <v>0.27800000000000002</v>
      </c>
      <c r="U12" s="86"/>
      <c r="V12" s="41">
        <v>0.309</v>
      </c>
      <c r="X12" s="41">
        <v>0.29599999999999999</v>
      </c>
      <c r="Y12" s="86"/>
      <c r="Z12" s="103">
        <f>SUM(R12,T12,V12,X12)</f>
        <v>1.1400000000000001</v>
      </c>
      <c r="AB12" s="41">
        <v>0.309</v>
      </c>
    </row>
    <row r="13" spans="1:28" s="85" customFormat="1" ht="12.75" customHeight="1" x14ac:dyDescent="0.2">
      <c r="A13" s="98" t="s">
        <v>85</v>
      </c>
      <c r="B13" s="23">
        <f>'Non-GAAP Income Statement'!B15</f>
        <v>1169.5550000000001</v>
      </c>
      <c r="C13" s="84"/>
      <c r="D13" s="23">
        <f>'Non-GAAP Income Statement'!D15</f>
        <v>1258.1640000000002</v>
      </c>
      <c r="E13" s="84"/>
      <c r="F13" s="23">
        <f>'Non-GAAP Income Statement'!F15</f>
        <v>1296.576</v>
      </c>
      <c r="G13" s="84"/>
      <c r="H13" s="22">
        <f>'Non-GAAP Income Statement'!H15</f>
        <v>324.92499999999995</v>
      </c>
      <c r="I13" s="84"/>
      <c r="J13" s="22">
        <f>'Non-GAAP Income Statement'!J15</f>
        <v>328.70000000000005</v>
      </c>
      <c r="K13" s="86"/>
      <c r="L13" s="22">
        <f>'Non-GAAP Income Statement'!L15</f>
        <v>336.63400000000001</v>
      </c>
      <c r="M13" s="84"/>
      <c r="N13" s="22">
        <f>'Non-GAAP Income Statement'!N15</f>
        <v>367.95699999999999</v>
      </c>
      <c r="O13" s="84"/>
      <c r="P13" s="23">
        <f>'Non-GAAP Income Statement'!P15</f>
        <v>1358.2159999999999</v>
      </c>
      <c r="Q13" s="84"/>
      <c r="R13" s="22">
        <f>'Non-GAAP Income Statement'!R15</f>
        <v>326.846</v>
      </c>
      <c r="S13" s="84"/>
      <c r="T13" s="22">
        <f>'Non-GAAP Income Statement'!T15</f>
        <v>315.25200000000001</v>
      </c>
      <c r="U13" s="86"/>
      <c r="V13" s="22">
        <f>'Non-GAAP Income Statement'!V15</f>
        <v>303.899</v>
      </c>
      <c r="W13" s="84"/>
      <c r="X13" s="22">
        <f>'Non-GAAP Income Statement'!X15</f>
        <v>313.11399999999998</v>
      </c>
      <c r="Y13" s="84"/>
      <c r="Z13" s="23">
        <f>'Non-GAAP Income Statement'!Z15</f>
        <v>1259.1109999999999</v>
      </c>
      <c r="AB13" s="22">
        <f>'Non-GAAP Income Statement'!AB15</f>
        <v>291.51400000000001</v>
      </c>
    </row>
    <row r="14" spans="1:28" s="85" customFormat="1" ht="12.75" customHeight="1" x14ac:dyDescent="0.2">
      <c r="A14" s="98"/>
      <c r="B14" s="104"/>
      <c r="C14" s="86"/>
      <c r="D14" s="104"/>
      <c r="E14" s="86"/>
      <c r="F14" s="104"/>
      <c r="G14" s="86"/>
      <c r="H14" s="45"/>
      <c r="I14" s="86"/>
      <c r="J14" s="45"/>
      <c r="K14" s="86"/>
      <c r="L14" s="45"/>
      <c r="M14" s="86"/>
      <c r="N14" s="45"/>
      <c r="O14" s="86"/>
      <c r="P14" s="104"/>
      <c r="Q14" s="86"/>
      <c r="R14" s="45"/>
      <c r="S14" s="45"/>
      <c r="T14" s="45"/>
      <c r="U14" s="86"/>
      <c r="V14" s="45"/>
      <c r="X14" s="45"/>
      <c r="Y14" s="86"/>
      <c r="Z14" s="104"/>
      <c r="AB14" s="45"/>
    </row>
    <row r="15" spans="1:28" s="85" customFormat="1" ht="12.75" customHeight="1" x14ac:dyDescent="0.2">
      <c r="A15" s="98" t="s">
        <v>86</v>
      </c>
      <c r="B15" s="100">
        <f>'GAAP Income Statement'!B19</f>
        <v>356.76799999999997</v>
      </c>
      <c r="C15" s="86"/>
      <c r="D15" s="100">
        <f>'GAAP Income Statement'!D19</f>
        <v>372.12799999999999</v>
      </c>
      <c r="E15" s="86"/>
      <c r="F15" s="100">
        <f>'GAAP Income Statement'!F19</f>
        <v>373.03899999999999</v>
      </c>
      <c r="G15" s="86"/>
      <c r="H15" s="99">
        <f>'GAAP Income Statement'!H19</f>
        <v>92.955999999999989</v>
      </c>
      <c r="I15" s="86"/>
      <c r="J15" s="99">
        <f>'GAAP Income Statement'!J19</f>
        <v>93.796999999999997</v>
      </c>
      <c r="K15" s="86"/>
      <c r="L15" s="99">
        <f>'GAAP Income Statement'!L19</f>
        <v>91.075999999999993</v>
      </c>
      <c r="M15" s="86"/>
      <c r="N15" s="99">
        <f>'GAAP Income Statement'!N19</f>
        <v>95.853999999999999</v>
      </c>
      <c r="O15" s="86"/>
      <c r="P15" s="100">
        <f>'GAAP Income Statement'!P19</f>
        <v>373.68299999999994</v>
      </c>
      <c r="Q15" s="86"/>
      <c r="R15" s="99">
        <f>'GAAP Income Statement'!R19</f>
        <v>92.942000000000007</v>
      </c>
      <c r="S15" s="86"/>
      <c r="T15" s="99">
        <f>'GAAP Income Statement'!T19</f>
        <v>86.054000000000002</v>
      </c>
      <c r="U15" s="86"/>
      <c r="V15" s="99">
        <f>'GAAP Income Statement'!V19</f>
        <v>79.376000000000005</v>
      </c>
      <c r="W15" s="86"/>
      <c r="X15" s="99">
        <f>'GAAP Income Statement'!X19</f>
        <v>76.361999999999995</v>
      </c>
      <c r="Y15" s="154"/>
      <c r="Z15" s="100">
        <f>'GAAP Income Statement'!Z19</f>
        <v>334.73400000000004</v>
      </c>
      <c r="AB15" s="99">
        <f>'GAAP Income Statement'!AB19</f>
        <v>80.146999999999991</v>
      </c>
    </row>
    <row r="16" spans="1:28" s="85" customFormat="1" ht="12.75" customHeight="1" x14ac:dyDescent="0.2">
      <c r="A16" s="101" t="s">
        <v>156</v>
      </c>
      <c r="B16" s="102">
        <v>-2.7360000000000002</v>
      </c>
      <c r="C16" s="86"/>
      <c r="D16" s="102">
        <v>-3.2559999999999998</v>
      </c>
      <c r="E16" s="86"/>
      <c r="F16" s="102">
        <v>-3.3450000000000002</v>
      </c>
      <c r="G16" s="86"/>
      <c r="H16" s="57">
        <v>-0.98899999999999999</v>
      </c>
      <c r="I16" s="86"/>
      <c r="J16" s="57">
        <v>-0.97099999999999997</v>
      </c>
      <c r="K16" s="86"/>
      <c r="L16" s="45">
        <v>-0.96099999999999997</v>
      </c>
      <c r="M16" s="86"/>
      <c r="N16" s="57">
        <v>-1.1379999999999999</v>
      </c>
      <c r="O16" s="86"/>
      <c r="P16" s="102">
        <f t="shared" ref="P16:P20" si="0">SUM(H16,J16,L16,N16)</f>
        <v>-4.0589999999999993</v>
      </c>
      <c r="Q16" s="86"/>
      <c r="R16" s="57">
        <v>-0.91800000000000004</v>
      </c>
      <c r="S16" s="86"/>
      <c r="T16" s="57">
        <v>-1.107</v>
      </c>
      <c r="U16" s="86"/>
      <c r="V16" s="45">
        <v>-1.133</v>
      </c>
      <c r="W16" s="86"/>
      <c r="X16" s="57">
        <v>-1.1379999999999999</v>
      </c>
      <c r="Y16" s="154"/>
      <c r="Z16" s="102">
        <f t="shared" ref="Z16:Z20" si="1">SUM(R16,T16,V16,X16)</f>
        <v>-4.2959999999999994</v>
      </c>
      <c r="AB16" s="57">
        <v>-1.905</v>
      </c>
    </row>
    <row r="17" spans="1:28" s="85" customFormat="1" ht="12.75" customHeight="1" x14ac:dyDescent="0.2">
      <c r="A17" s="101" t="s">
        <v>87</v>
      </c>
      <c r="B17" s="102">
        <v>-5.0110000000000001</v>
      </c>
      <c r="C17" s="86"/>
      <c r="D17" s="102">
        <v>-5.6820000000000004</v>
      </c>
      <c r="E17" s="86"/>
      <c r="F17" s="102">
        <v>-6.1340000000000003</v>
      </c>
      <c r="G17" s="86"/>
      <c r="H17" s="57">
        <v>-1.5369999999999999</v>
      </c>
      <c r="I17" s="86"/>
      <c r="J17" s="57">
        <v>-1.349</v>
      </c>
      <c r="K17" s="86"/>
      <c r="L17" s="45">
        <v>-1.5489999999999999</v>
      </c>
      <c r="M17" s="86"/>
      <c r="N17" s="57">
        <v>-1.9159999999999999</v>
      </c>
      <c r="O17" s="86"/>
      <c r="P17" s="102">
        <f t="shared" si="0"/>
        <v>-6.3510000000000009</v>
      </c>
      <c r="Q17" s="86"/>
      <c r="R17" s="57">
        <v>-1.6890000000000001</v>
      </c>
      <c r="S17" s="86"/>
      <c r="T17" s="57">
        <v>-1.504</v>
      </c>
      <c r="U17" s="86"/>
      <c r="V17" s="45">
        <v>-1.3169999999999999</v>
      </c>
      <c r="W17" s="86"/>
      <c r="X17" s="57">
        <v>-1.361</v>
      </c>
      <c r="Y17" s="154"/>
      <c r="Z17" s="102">
        <f t="shared" si="1"/>
        <v>-5.8709999999999996</v>
      </c>
      <c r="AB17" s="57">
        <v>-1.4510000000000001</v>
      </c>
    </row>
    <row r="18" spans="1:28" s="85" customFormat="1" ht="12.75" customHeight="1" x14ac:dyDescent="0.2">
      <c r="A18" s="101" t="s">
        <v>88</v>
      </c>
      <c r="B18" s="102">
        <v>0</v>
      </c>
      <c r="C18" s="86"/>
      <c r="D18" s="102">
        <v>0</v>
      </c>
      <c r="E18" s="86"/>
      <c r="F18" s="102">
        <v>0</v>
      </c>
      <c r="G18" s="86"/>
      <c r="H18" s="57">
        <v>0</v>
      </c>
      <c r="I18" s="86"/>
      <c r="J18" s="57">
        <v>0</v>
      </c>
      <c r="K18" s="86"/>
      <c r="L18" s="45">
        <v>0</v>
      </c>
      <c r="M18" s="86"/>
      <c r="N18" s="57">
        <v>6.5000000000000002E-2</v>
      </c>
      <c r="O18" s="86"/>
      <c r="P18" s="102">
        <f t="shared" si="0"/>
        <v>6.5000000000000002E-2</v>
      </c>
      <c r="Q18" s="86"/>
      <c r="R18" s="57">
        <v>0.106</v>
      </c>
      <c r="S18" s="86"/>
      <c r="T18" s="57">
        <v>0.151</v>
      </c>
      <c r="U18" s="86"/>
      <c r="V18" s="45">
        <v>0.13500000000000001</v>
      </c>
      <c r="W18" s="86"/>
      <c r="X18" s="57">
        <v>0.13400000000000001</v>
      </c>
      <c r="Y18" s="154"/>
      <c r="Z18" s="102">
        <f t="shared" si="1"/>
        <v>0.52600000000000002</v>
      </c>
      <c r="AB18" s="57">
        <v>0.13200000000000001</v>
      </c>
    </row>
    <row r="19" spans="1:28" s="85" customFormat="1" ht="12.75" customHeight="1" x14ac:dyDescent="0.2">
      <c r="A19" s="101" t="s">
        <v>160</v>
      </c>
      <c r="B19" s="102">
        <v>-15.393000000000001</v>
      </c>
      <c r="C19" s="86"/>
      <c r="D19" s="102">
        <v>-15.819000000000001</v>
      </c>
      <c r="E19" s="86"/>
      <c r="F19" s="102">
        <v>-18.585999999999999</v>
      </c>
      <c r="G19" s="86"/>
      <c r="H19" s="57">
        <v>-4.4969999999999999</v>
      </c>
      <c r="I19" s="86"/>
      <c r="J19" s="57">
        <v>-4.407</v>
      </c>
      <c r="K19" s="86"/>
      <c r="L19" s="45">
        <v>-4.415</v>
      </c>
      <c r="M19" s="86"/>
      <c r="N19" s="57">
        <v>-4.7930000000000001</v>
      </c>
      <c r="O19" s="86"/>
      <c r="P19" s="102">
        <f t="shared" si="0"/>
        <v>-18.111999999999998</v>
      </c>
      <c r="Q19" s="86"/>
      <c r="R19" s="57">
        <v>-4.7670000000000003</v>
      </c>
      <c r="S19" s="86"/>
      <c r="T19" s="57">
        <v>-4.7140000000000004</v>
      </c>
      <c r="U19" s="86"/>
      <c r="V19" s="45">
        <v>-4.9569999999999999</v>
      </c>
      <c r="W19" s="86"/>
      <c r="X19" s="57">
        <v>-4.9640000000000004</v>
      </c>
      <c r="Y19" s="154"/>
      <c r="Z19" s="102">
        <f t="shared" si="1"/>
        <v>-19.402000000000001</v>
      </c>
      <c r="AB19" s="57">
        <v>-5.1269999999999998</v>
      </c>
    </row>
    <row r="20" spans="1:28" s="85" customFormat="1" ht="12.75" customHeight="1" x14ac:dyDescent="0.2">
      <c r="A20" s="101" t="s">
        <v>89</v>
      </c>
      <c r="B20" s="103">
        <v>0</v>
      </c>
      <c r="C20" s="86"/>
      <c r="D20" s="103">
        <v>0</v>
      </c>
      <c r="E20" s="86"/>
      <c r="F20" s="103">
        <v>0</v>
      </c>
      <c r="G20" s="86"/>
      <c r="H20" s="41">
        <v>0</v>
      </c>
      <c r="I20" s="86"/>
      <c r="J20" s="41">
        <v>0</v>
      </c>
      <c r="K20" s="86"/>
      <c r="L20" s="41">
        <v>0</v>
      </c>
      <c r="M20" s="86"/>
      <c r="N20" s="41">
        <v>0</v>
      </c>
      <c r="O20" s="86"/>
      <c r="P20" s="103">
        <f t="shared" si="0"/>
        <v>0</v>
      </c>
      <c r="Q20" s="86"/>
      <c r="R20" s="41">
        <v>0</v>
      </c>
      <c r="S20" s="86"/>
      <c r="T20" s="41">
        <v>0</v>
      </c>
      <c r="U20" s="86"/>
      <c r="V20" s="41">
        <v>0</v>
      </c>
      <c r="W20" s="86"/>
      <c r="X20" s="41">
        <v>0</v>
      </c>
      <c r="Y20" s="154"/>
      <c r="Z20" s="103">
        <f t="shared" si="1"/>
        <v>0</v>
      </c>
      <c r="AB20" s="41">
        <v>0</v>
      </c>
    </row>
    <row r="21" spans="1:28" s="85" customFormat="1" ht="12.75" customHeight="1" x14ac:dyDescent="0.2">
      <c r="A21" s="98" t="s">
        <v>90</v>
      </c>
      <c r="B21" s="23">
        <f>'Non-GAAP Income Statement'!B19</f>
        <v>333.62800000000004</v>
      </c>
      <c r="C21" s="84"/>
      <c r="D21" s="23">
        <f>'Non-GAAP Income Statement'!D19</f>
        <v>347.37099999999998</v>
      </c>
      <c r="E21" s="84"/>
      <c r="F21" s="23">
        <f>'Non-GAAP Income Statement'!F19</f>
        <v>344.97400000000005</v>
      </c>
      <c r="G21" s="84"/>
      <c r="H21" s="22">
        <f>'Non-GAAP Income Statement'!H19</f>
        <v>85.932999999999993</v>
      </c>
      <c r="I21" s="84"/>
      <c r="J21" s="22">
        <f>'Non-GAAP Income Statement'!J19</f>
        <v>87.07</v>
      </c>
      <c r="K21" s="86"/>
      <c r="L21" s="22">
        <f>'Non-GAAP Income Statement'!L19</f>
        <v>84.150999999999996</v>
      </c>
      <c r="M21" s="84"/>
      <c r="N21" s="22">
        <f>'Non-GAAP Income Statement'!N19</f>
        <v>88.072000000000003</v>
      </c>
      <c r="O21" s="84"/>
      <c r="P21" s="23">
        <f>'Non-GAAP Income Statement'!P19</f>
        <v>345.226</v>
      </c>
      <c r="Q21" s="84"/>
      <c r="R21" s="22">
        <f>'Non-GAAP Income Statement'!R19</f>
        <v>85.674000000000007</v>
      </c>
      <c r="S21" s="84"/>
      <c r="T21" s="22">
        <f>'Non-GAAP Income Statement'!T19</f>
        <v>78.88</v>
      </c>
      <c r="U21" s="86"/>
      <c r="V21" s="22">
        <f>'Non-GAAP Income Statement'!V19</f>
        <v>72.103999999999999</v>
      </c>
      <c r="W21" s="84"/>
      <c r="X21" s="22">
        <f>'Non-GAAP Income Statement'!X19</f>
        <v>69.033000000000001</v>
      </c>
      <c r="Y21" s="156"/>
      <c r="Z21" s="23">
        <f>'Non-GAAP Income Statement'!Z19</f>
        <v>305.69100000000003</v>
      </c>
      <c r="AB21" s="22">
        <f>'Non-GAAP Income Statement'!AB19</f>
        <v>71.796000000000006</v>
      </c>
    </row>
    <row r="22" spans="1:28" s="85" customFormat="1" ht="12.75" customHeight="1" x14ac:dyDescent="0.2">
      <c r="A22" s="98"/>
      <c r="B22" s="104"/>
      <c r="C22" s="86"/>
      <c r="D22" s="104"/>
      <c r="E22" s="86"/>
      <c r="F22" s="104"/>
      <c r="G22" s="86"/>
      <c r="H22" s="45"/>
      <c r="I22" s="86"/>
      <c r="J22" s="45"/>
      <c r="K22" s="86"/>
      <c r="L22" s="45"/>
      <c r="M22" s="86"/>
      <c r="N22" s="45"/>
      <c r="O22" s="86"/>
      <c r="P22" s="104"/>
      <c r="Q22" s="86"/>
      <c r="R22" s="45"/>
      <c r="S22" s="45"/>
      <c r="T22" s="45"/>
      <c r="U22" s="86"/>
      <c r="V22" s="45"/>
      <c r="X22" s="45"/>
      <c r="Y22" s="86"/>
      <c r="Z22" s="104"/>
      <c r="AA22" s="105"/>
      <c r="AB22" s="45"/>
    </row>
    <row r="23" spans="1:28" s="85" customFormat="1" ht="12.75" customHeight="1" x14ac:dyDescent="0.2">
      <c r="A23" s="98" t="s">
        <v>91</v>
      </c>
      <c r="B23" s="100">
        <f>'GAAP Income Statement'!B20</f>
        <v>810.18100000000004</v>
      </c>
      <c r="C23" s="86"/>
      <c r="D23" s="100">
        <f>'GAAP Income Statement'!D20</f>
        <v>883.55100000000016</v>
      </c>
      <c r="E23" s="86"/>
      <c r="F23" s="100">
        <f>'GAAP Income Statement'!F20</f>
        <v>920.50200000000018</v>
      </c>
      <c r="G23" s="86"/>
      <c r="H23" s="99">
        <f>'GAAP Income Statement'!H20</f>
        <v>231.96899999999997</v>
      </c>
      <c r="I23" s="155"/>
      <c r="J23" s="99">
        <f>'GAAP Income Statement'!J20</f>
        <v>234.90300000000005</v>
      </c>
      <c r="K23" s="155"/>
      <c r="L23" s="99">
        <f>'GAAP Income Statement'!L20</f>
        <v>245.55800000000002</v>
      </c>
      <c r="M23" s="155"/>
      <c r="N23" s="99">
        <f>'GAAP Income Statement'!N20</f>
        <v>270.85400000000004</v>
      </c>
      <c r="O23" s="86"/>
      <c r="P23" s="100">
        <f>'GAAP Income Statement'!P20</f>
        <v>983.28400000000011</v>
      </c>
      <c r="Q23" s="86"/>
      <c r="R23" s="99">
        <f>'GAAP Income Statement'!R20</f>
        <v>232.5</v>
      </c>
      <c r="S23" s="155"/>
      <c r="T23" s="99">
        <f>'GAAP Income Statement'!T20</f>
        <v>228.06500000000003</v>
      </c>
      <c r="U23" s="155"/>
      <c r="V23" s="99">
        <f>'GAAP Income Statement'!V20</f>
        <v>223.73699999999999</v>
      </c>
      <c r="W23" s="155"/>
      <c r="X23" s="99">
        <f>'GAAP Income Statement'!X20</f>
        <v>236.20599999999999</v>
      </c>
      <c r="Y23" s="86"/>
      <c r="Z23" s="100">
        <f>'GAAP Income Statement'!Z20</f>
        <v>920.50800000000004</v>
      </c>
      <c r="AA23" s="26"/>
      <c r="AB23" s="99">
        <f>'GAAP Income Statement'!AB20</f>
        <v>210.87</v>
      </c>
    </row>
    <row r="24" spans="1:28" s="85" customFormat="1" ht="12.75" customHeight="1" x14ac:dyDescent="0.2">
      <c r="A24" s="101" t="s">
        <v>92</v>
      </c>
      <c r="B24" s="102">
        <f>+B9+B10+B12+B11</f>
        <v>2.6059999999999999</v>
      </c>
      <c r="C24" s="86"/>
      <c r="D24" s="102">
        <f>+D9+D10+D12+D11</f>
        <v>2.4849999999999999</v>
      </c>
      <c r="E24" s="86"/>
      <c r="F24" s="102">
        <f>+F9+F10+F12+F11</f>
        <v>3.0349999999999997</v>
      </c>
      <c r="G24" s="86"/>
      <c r="H24" s="57">
        <f>+H9+H10+H12+H11</f>
        <v>0</v>
      </c>
      <c r="I24" s="86"/>
      <c r="J24" s="57">
        <f>+J9+J10+J12+J11</f>
        <v>0</v>
      </c>
      <c r="K24" s="86"/>
      <c r="L24" s="45">
        <f>+L9+L10+L12+L11</f>
        <v>0</v>
      </c>
      <c r="M24" s="86"/>
      <c r="N24" s="45">
        <f>+N9+N10+N12+N11</f>
        <v>1.2489999999999999</v>
      </c>
      <c r="O24" s="86"/>
      <c r="P24" s="102">
        <f>+P9+P10+P12+P11</f>
        <v>1.2489999999999999</v>
      </c>
      <c r="Q24" s="86"/>
      <c r="R24" s="57">
        <f>+R9+R10+R12+R11</f>
        <v>1.4039999999999999</v>
      </c>
      <c r="S24" s="86"/>
      <c r="T24" s="57">
        <f>+T9+T10+T12+T11</f>
        <v>1.133</v>
      </c>
      <c r="U24" s="86"/>
      <c r="V24" s="45">
        <f>+V9+V10+V12+V11</f>
        <v>0.78600000000000003</v>
      </c>
      <c r="W24" s="86"/>
      <c r="X24" s="45">
        <f>+X9+X10+X12+X11</f>
        <v>0.54600000000000004</v>
      </c>
      <c r="Y24" s="86"/>
      <c r="Z24" s="102">
        <f>+Z9+Z10+Z12+Z11</f>
        <v>3.8690000000000002</v>
      </c>
      <c r="AA24" s="106"/>
      <c r="AB24" s="45">
        <f>+AB9+AB10+AB12+AB11</f>
        <v>0.497</v>
      </c>
    </row>
    <row r="25" spans="1:28" s="85" customFormat="1" ht="12.75" customHeight="1" x14ac:dyDescent="0.2">
      <c r="A25" s="101" t="s">
        <v>93</v>
      </c>
      <c r="B25" s="102">
        <f>-B16-B17</f>
        <v>7.7469999999999999</v>
      </c>
      <c r="C25" s="86"/>
      <c r="D25" s="102">
        <f>-D16-D17</f>
        <v>8.9380000000000006</v>
      </c>
      <c r="E25" s="86"/>
      <c r="F25" s="102">
        <f>-F16-F17</f>
        <v>9.479000000000001</v>
      </c>
      <c r="G25" s="86"/>
      <c r="H25" s="57">
        <f>-H16-H17</f>
        <v>2.5259999999999998</v>
      </c>
      <c r="I25" s="86"/>
      <c r="J25" s="57">
        <f>-J16-J17</f>
        <v>2.3199999999999998</v>
      </c>
      <c r="K25" s="86"/>
      <c r="L25" s="57">
        <f>-L16-L17</f>
        <v>2.5099999999999998</v>
      </c>
      <c r="M25" s="86"/>
      <c r="N25" s="57">
        <f>-N16-N17</f>
        <v>3.0539999999999998</v>
      </c>
      <c r="O25" s="86"/>
      <c r="P25" s="102">
        <f>-P16-P17</f>
        <v>10.41</v>
      </c>
      <c r="Q25" s="86"/>
      <c r="R25" s="57">
        <f>-R16-R17</f>
        <v>2.6070000000000002</v>
      </c>
      <c r="S25" s="86"/>
      <c r="T25" s="57">
        <f>-T16-T17</f>
        <v>2.6109999999999998</v>
      </c>
      <c r="U25" s="86"/>
      <c r="V25" s="57">
        <f>-V16-V17</f>
        <v>2.4500000000000002</v>
      </c>
      <c r="W25" s="86"/>
      <c r="X25" s="57">
        <f>-X16-X17</f>
        <v>2.4989999999999997</v>
      </c>
      <c r="Y25" s="86"/>
      <c r="Z25" s="102">
        <f>-Z16-Z17</f>
        <v>10.166999999999998</v>
      </c>
      <c r="AA25" s="106"/>
      <c r="AB25" s="57">
        <f>-AB16-AB17</f>
        <v>3.3559999999999999</v>
      </c>
    </row>
    <row r="26" spans="1:28" s="85" customFormat="1" ht="12.75" customHeight="1" x14ac:dyDescent="0.2">
      <c r="A26" s="101" t="s">
        <v>88</v>
      </c>
      <c r="B26" s="102">
        <f>-B18</f>
        <v>0</v>
      </c>
      <c r="C26" s="86"/>
      <c r="D26" s="102">
        <f>-D18</f>
        <v>0</v>
      </c>
      <c r="E26" s="86"/>
      <c r="F26" s="102">
        <f>-F18</f>
        <v>0</v>
      </c>
      <c r="G26" s="86"/>
      <c r="H26" s="57">
        <f>-H18</f>
        <v>0</v>
      </c>
      <c r="I26" s="86"/>
      <c r="J26" s="57">
        <f>-J18</f>
        <v>0</v>
      </c>
      <c r="K26" s="86"/>
      <c r="L26" s="45">
        <f>-L18</f>
        <v>0</v>
      </c>
      <c r="M26" s="86"/>
      <c r="N26" s="45">
        <f>-N18</f>
        <v>-6.5000000000000002E-2</v>
      </c>
      <c r="O26" s="86"/>
      <c r="P26" s="102">
        <f>-P18</f>
        <v>-6.5000000000000002E-2</v>
      </c>
      <c r="Q26" s="86"/>
      <c r="R26" s="57">
        <f>-R18</f>
        <v>-0.106</v>
      </c>
      <c r="S26" s="86"/>
      <c r="T26" s="57">
        <f>-T18</f>
        <v>-0.151</v>
      </c>
      <c r="U26" s="86"/>
      <c r="V26" s="45">
        <f>-V18</f>
        <v>-0.13500000000000001</v>
      </c>
      <c r="W26" s="86"/>
      <c r="X26" s="45">
        <v>-0.13400000000000001</v>
      </c>
      <c r="Y26" s="86"/>
      <c r="Z26" s="102">
        <f>-Z18</f>
        <v>-0.52600000000000002</v>
      </c>
      <c r="AA26" s="106"/>
      <c r="AB26" s="45">
        <f>-AB18</f>
        <v>-0.13200000000000001</v>
      </c>
    </row>
    <row r="27" spans="1:28" s="85" customFormat="1" ht="12.75" customHeight="1" x14ac:dyDescent="0.2">
      <c r="A27" s="101" t="s">
        <v>58</v>
      </c>
      <c r="B27" s="103">
        <f>-B19-B20</f>
        <v>15.393000000000001</v>
      </c>
      <c r="C27" s="86"/>
      <c r="D27" s="103">
        <f>-D19-D20</f>
        <v>15.819000000000001</v>
      </c>
      <c r="E27" s="86"/>
      <c r="F27" s="103">
        <f>-F19-F20</f>
        <v>18.585999999999999</v>
      </c>
      <c r="G27" s="86"/>
      <c r="H27" s="41">
        <f>-H19-H20</f>
        <v>4.4969999999999999</v>
      </c>
      <c r="I27" s="86"/>
      <c r="J27" s="41">
        <f>-J19-J20</f>
        <v>4.407</v>
      </c>
      <c r="K27" s="86"/>
      <c r="L27" s="41">
        <f>-L19-L20</f>
        <v>4.415</v>
      </c>
      <c r="M27" s="86"/>
      <c r="N27" s="41">
        <f>-N19-N20</f>
        <v>4.7930000000000001</v>
      </c>
      <c r="O27" s="86"/>
      <c r="P27" s="103">
        <f>-P19-P20</f>
        <v>18.111999999999998</v>
      </c>
      <c r="Q27" s="86"/>
      <c r="R27" s="41">
        <f>-R19-R20</f>
        <v>4.7670000000000003</v>
      </c>
      <c r="S27" s="86"/>
      <c r="T27" s="41">
        <f>-T19-T20</f>
        <v>4.7140000000000004</v>
      </c>
      <c r="U27" s="86"/>
      <c r="V27" s="41">
        <f>-V19-V20</f>
        <v>4.9569999999999999</v>
      </c>
      <c r="W27" s="86"/>
      <c r="X27" s="41">
        <v>4.9640000000000004</v>
      </c>
      <c r="Y27" s="86"/>
      <c r="Z27" s="103">
        <f>-Z19-Z20</f>
        <v>19.402000000000001</v>
      </c>
      <c r="AA27" s="106"/>
      <c r="AB27" s="41">
        <f>-AB19-AB20</f>
        <v>5.1269999999999998</v>
      </c>
    </row>
    <row r="28" spans="1:28" s="85" customFormat="1" ht="12.75" customHeight="1" x14ac:dyDescent="0.2">
      <c r="A28" s="98" t="s">
        <v>94</v>
      </c>
      <c r="B28" s="23">
        <f>'Non-GAAP Income Statement'!B20</f>
        <v>835.92700000000002</v>
      </c>
      <c r="C28" s="84"/>
      <c r="D28" s="23">
        <f>'Non-GAAP Income Statement'!D20</f>
        <v>910.79300000000023</v>
      </c>
      <c r="E28" s="84"/>
      <c r="F28" s="23">
        <f>'Non-GAAP Income Statement'!F20</f>
        <v>951.60199999999998</v>
      </c>
      <c r="G28" s="84"/>
      <c r="H28" s="22">
        <f>'Non-GAAP Income Statement'!H20</f>
        <v>238.99199999999996</v>
      </c>
      <c r="I28" s="84"/>
      <c r="J28" s="22">
        <f>'Non-GAAP Income Statement'!J20</f>
        <v>241.63000000000005</v>
      </c>
      <c r="K28" s="86"/>
      <c r="L28" s="22">
        <f>'Non-GAAP Income Statement'!L20</f>
        <v>252.483</v>
      </c>
      <c r="M28" s="84"/>
      <c r="N28" s="22">
        <f>'Non-GAAP Income Statement'!N20</f>
        <v>279.88499999999999</v>
      </c>
      <c r="O28" s="84"/>
      <c r="P28" s="23">
        <f>'Non-GAAP Income Statement'!P20</f>
        <v>1012.9899999999999</v>
      </c>
      <c r="Q28" s="84"/>
      <c r="R28" s="22">
        <f>'Non-GAAP Income Statement'!R20</f>
        <v>241.172</v>
      </c>
      <c r="S28" s="84"/>
      <c r="T28" s="22">
        <f>'Non-GAAP Income Statement'!T20</f>
        <v>236.37200000000001</v>
      </c>
      <c r="U28" s="86"/>
      <c r="V28" s="22">
        <f>'Non-GAAP Income Statement'!V20</f>
        <v>231.79500000000002</v>
      </c>
      <c r="W28" s="84"/>
      <c r="X28" s="22">
        <f>'Non-GAAP Income Statement'!X20</f>
        <v>244.08099999999996</v>
      </c>
      <c r="Y28" s="84"/>
      <c r="Z28" s="23">
        <f>'Non-GAAP Income Statement'!Z20</f>
        <v>953.41999999999985</v>
      </c>
      <c r="AB28" s="22">
        <f>'Non-GAAP Income Statement'!AB20</f>
        <v>219.71800000000002</v>
      </c>
    </row>
    <row r="29" spans="1:28" s="85" customFormat="1" ht="12.75" customHeight="1" x14ac:dyDescent="0.2">
      <c r="A29" s="98"/>
      <c r="B29" s="104"/>
      <c r="C29" s="86"/>
      <c r="D29" s="104"/>
      <c r="E29" s="86"/>
      <c r="F29" s="104"/>
      <c r="G29" s="86"/>
      <c r="H29" s="45"/>
      <c r="I29" s="86"/>
      <c r="J29" s="45"/>
      <c r="K29" s="86"/>
      <c r="L29" s="45"/>
      <c r="M29" s="86"/>
      <c r="N29" s="45"/>
      <c r="O29" s="86"/>
      <c r="P29" s="104"/>
      <c r="Q29" s="86"/>
      <c r="R29" s="45"/>
      <c r="S29" s="45"/>
      <c r="T29" s="45"/>
      <c r="U29" s="86"/>
      <c r="V29" s="45"/>
      <c r="X29" s="45"/>
      <c r="Y29" s="86"/>
      <c r="Z29" s="104"/>
      <c r="AB29" s="45"/>
    </row>
    <row r="30" spans="1:28" s="85" customFormat="1" ht="12.75" customHeight="1" x14ac:dyDescent="0.2">
      <c r="A30" s="98" t="s">
        <v>95</v>
      </c>
      <c r="B30" s="108">
        <f>'GAAP Income Statement'!B41</f>
        <v>0.6942728431148234</v>
      </c>
      <c r="C30" s="107"/>
      <c r="D30" s="108">
        <f>'GAAP Income Statement'!D41</f>
        <v>0.70364400455848997</v>
      </c>
      <c r="E30" s="107"/>
      <c r="F30" s="108">
        <f>'GAAP Income Statement'!F41</f>
        <v>0.71161408876873644</v>
      </c>
      <c r="G30" s="107"/>
      <c r="H30" s="107">
        <f>'GAAP Income Statement'!H41</f>
        <v>0.71391551896591521</v>
      </c>
      <c r="I30" s="107"/>
      <c r="J30" s="107">
        <f>'GAAP Income Statement'!J41</f>
        <v>0.71464253118345</v>
      </c>
      <c r="K30" s="107"/>
      <c r="L30" s="107">
        <f>'GAAP Income Statement'!L41</f>
        <v>0.72945097643137657</v>
      </c>
      <c r="M30" s="107"/>
      <c r="N30" s="107">
        <f>'GAAP Income Statement'!N41</f>
        <v>0.73860946584203246</v>
      </c>
      <c r="O30" s="107"/>
      <c r="P30" s="108">
        <f>'GAAP Income Statement'!P41</f>
        <v>0.72461894799210302</v>
      </c>
      <c r="Q30" s="107"/>
      <c r="R30" s="107">
        <f>'GAAP Income Statement'!R41</f>
        <v>0.71441301368600241</v>
      </c>
      <c r="S30" s="107"/>
      <c r="T30" s="107">
        <f>'GAAP Income Statement'!T41</f>
        <v>0.72604649830159906</v>
      </c>
      <c r="U30" s="107"/>
      <c r="V30" s="107">
        <f>'GAAP Income Statement'!V41</f>
        <v>0.73813066414175565</v>
      </c>
      <c r="W30" s="107"/>
      <c r="X30" s="107">
        <f>'GAAP Income Statement'!X41</f>
        <v>0.75569476082004561</v>
      </c>
      <c r="Y30" s="107"/>
      <c r="Z30" s="108">
        <f>'GAAP Income Statement'!Z41</f>
        <v>0.73333110268776847</v>
      </c>
      <c r="AB30" s="107">
        <f>'GAAP Income Statement'!AB41</f>
        <v>0.72459684485786058</v>
      </c>
    </row>
    <row r="31" spans="1:28" s="85" customFormat="1" ht="12.75" customHeight="1" x14ac:dyDescent="0.2">
      <c r="A31" s="101" t="s">
        <v>92</v>
      </c>
      <c r="B31" s="108">
        <f>+B24/B$8</f>
        <v>2.2331738576407364E-3</v>
      </c>
      <c r="C31" s="86"/>
      <c r="D31" s="108">
        <f>+D24/D$8</f>
        <v>1.9790089664635624E-3</v>
      </c>
      <c r="E31" s="86"/>
      <c r="F31" s="108">
        <f>+F24/F$8</f>
        <v>2.3462727505351583E-3</v>
      </c>
      <c r="G31" s="86"/>
      <c r="H31" s="107">
        <f>+H24/H$8</f>
        <v>0</v>
      </c>
      <c r="I31" s="86"/>
      <c r="J31" s="107">
        <f>+J24/J$8</f>
        <v>0</v>
      </c>
      <c r="K31" s="86"/>
      <c r="L31" s="107">
        <f>+L24/L$8</f>
        <v>0</v>
      </c>
      <c r="M31" s="86"/>
      <c r="N31" s="107">
        <f>+N24/N$8</f>
        <v>3.405979689562267E-3</v>
      </c>
      <c r="O31" s="86"/>
      <c r="P31" s="108">
        <f>+P24/P$8</f>
        <v>9.2043505847968284E-4</v>
      </c>
      <c r="Q31" s="86"/>
      <c r="R31" s="107">
        <f>+R24/R$8</f>
        <v>4.3141327794199887E-3</v>
      </c>
      <c r="S31" s="86"/>
      <c r="T31" s="107">
        <f>+T24/T$8</f>
        <v>3.606913303556932E-3</v>
      </c>
      <c r="U31" s="86"/>
      <c r="V31" s="107">
        <f>+V24/V$8</f>
        <v>2.5930923450990227E-3</v>
      </c>
      <c r="W31" s="86"/>
      <c r="X31" s="107">
        <f>+X24/X$8</f>
        <v>1.7468198919915029E-3</v>
      </c>
      <c r="Y31" s="86"/>
      <c r="Z31" s="108">
        <f>+Z24/Z$8</f>
        <v>3.0822741750196375E-3</v>
      </c>
      <c r="AB31" s="107">
        <f>+AB24/AB$8</f>
        <v>1.7078040114495031E-3</v>
      </c>
    </row>
    <row r="32" spans="1:28" s="85" customFormat="1" ht="12.75" customHeight="1" x14ac:dyDescent="0.2">
      <c r="A32" s="101" t="s">
        <v>93</v>
      </c>
      <c r="B32" s="108">
        <f t="shared" ref="B32" si="2">+B25/B$8</f>
        <v>6.6386791539304628E-3</v>
      </c>
      <c r="C32" s="86"/>
      <c r="D32" s="108">
        <f t="shared" ref="D32" si="3">+D25/D$8</f>
        <v>7.1180612242460056E-3</v>
      </c>
      <c r="E32" s="86"/>
      <c r="F32" s="108">
        <f t="shared" ref="F32:H32" si="4">+F25/F$8</f>
        <v>7.3279470847850978E-3</v>
      </c>
      <c r="G32" s="86"/>
      <c r="H32" s="107">
        <f t="shared" si="4"/>
        <v>7.7741017157805653E-3</v>
      </c>
      <c r="I32" s="86"/>
      <c r="J32" s="107">
        <f t="shared" ref="J32" si="5">+J25/J$8</f>
        <v>7.058107696988134E-3</v>
      </c>
      <c r="K32" s="86"/>
      <c r="L32" s="107">
        <f t="shared" ref="L32" si="6">+L25/L$8</f>
        <v>7.4561690144192196E-3</v>
      </c>
      <c r="M32" s="86"/>
      <c r="N32" s="107">
        <f t="shared" ref="N32" si="7">+N25/N$8</f>
        <v>8.3281520992179048E-3</v>
      </c>
      <c r="O32" s="86"/>
      <c r="P32" s="108">
        <f t="shared" ref="P32:P34" si="8">+P25/P$8</f>
        <v>7.6715203833254602E-3</v>
      </c>
      <c r="Q32" s="86"/>
      <c r="R32" s="107">
        <f t="shared" ref="R32" si="9">+R25/R$8</f>
        <v>8.0106439857178854E-3</v>
      </c>
      <c r="S32" s="86"/>
      <c r="T32" s="107">
        <f t="shared" ref="T32" si="10">+T25/T$8</f>
        <v>8.3121364833072808E-3</v>
      </c>
      <c r="U32" s="86"/>
      <c r="V32" s="107">
        <f t="shared" ref="V32" si="11">+V25/V$8</f>
        <v>8.082794205461331E-3</v>
      </c>
      <c r="W32" s="86"/>
      <c r="X32" s="107">
        <f t="shared" ref="X32" si="12">+X25/X$8</f>
        <v>7.9950602748841849E-3</v>
      </c>
      <c r="Y32" s="86"/>
      <c r="Z32" s="108">
        <f t="shared" ref="Z32:Z34" si="13">+Z25/Z$8</f>
        <v>8.0996333774682461E-3</v>
      </c>
      <c r="AB32" s="107">
        <f t="shared" ref="AB32" si="14">+AB25/AB$8</f>
        <v>1.1531972359003082E-2</v>
      </c>
    </row>
    <row r="33" spans="1:28" s="85" customFormat="1" ht="12.75" customHeight="1" x14ac:dyDescent="0.2">
      <c r="A33" s="101" t="s">
        <v>88</v>
      </c>
      <c r="B33" s="108">
        <f t="shared" ref="B33" si="15">+B26/B$8</f>
        <v>0</v>
      </c>
      <c r="C33" s="86"/>
      <c r="D33" s="108">
        <f t="shared" ref="D33" si="16">+D26/D$8</f>
        <v>0</v>
      </c>
      <c r="E33" s="86"/>
      <c r="F33" s="108">
        <f t="shared" ref="F33:H33" si="17">+F26/F$8</f>
        <v>0</v>
      </c>
      <c r="G33" s="86"/>
      <c r="H33" s="107">
        <f t="shared" si="17"/>
        <v>0</v>
      </c>
      <c r="I33" s="86"/>
      <c r="J33" s="107">
        <f t="shared" ref="J33" si="18">+J26/J$8</f>
        <v>0</v>
      </c>
      <c r="K33" s="86"/>
      <c r="L33" s="107">
        <f t="shared" ref="L33" si="19">+L26/L$8</f>
        <v>0</v>
      </c>
      <c r="M33" s="86"/>
      <c r="N33" s="107">
        <f t="shared" ref="N33" si="20">+N26/N$8</f>
        <v>-1.7725274605408117E-4</v>
      </c>
      <c r="O33" s="86"/>
      <c r="P33" s="108">
        <f t="shared" si="8"/>
        <v>-4.7900943795980298E-5</v>
      </c>
      <c r="Q33" s="86"/>
      <c r="R33" s="107">
        <f t="shared" ref="R33" si="21">+R26/R$8</f>
        <v>-3.2571087935791938E-4</v>
      </c>
      <c r="S33" s="86"/>
      <c r="T33" s="107">
        <f t="shared" ref="T33" si="22">+T26/T$8</f>
        <v>-4.8070954001508978E-4</v>
      </c>
      <c r="U33" s="86"/>
      <c r="V33" s="107">
        <f t="shared" ref="V33" si="23">+V26/V$8</f>
        <v>-4.4537845621929776E-4</v>
      </c>
      <c r="W33" s="86"/>
      <c r="X33" s="107">
        <f t="shared" ref="X33" si="24">+X26/X$8</f>
        <v>-4.2870671341916006E-4</v>
      </c>
      <c r="Y33" s="86"/>
      <c r="Z33" s="108">
        <f t="shared" si="13"/>
        <v>-4.1904270252270077E-4</v>
      </c>
      <c r="AB33" s="107">
        <f t="shared" ref="AB33" si="25">+AB26/AB$8</f>
        <v>-4.5358174951978754E-4</v>
      </c>
    </row>
    <row r="34" spans="1:28" s="85" customFormat="1" ht="12.75" customHeight="1" x14ac:dyDescent="0.2">
      <c r="A34" s="101" t="s">
        <v>58</v>
      </c>
      <c r="B34" s="110">
        <f t="shared" ref="B34" si="26">+B27/B$8</f>
        <v>1.3190807824506469E-2</v>
      </c>
      <c r="C34" s="86"/>
      <c r="D34" s="110">
        <f t="shared" ref="D34" si="27">+D27/D$8</f>
        <v>1.2597964925749336E-2</v>
      </c>
      <c r="E34" s="86"/>
      <c r="F34" s="110">
        <f t="shared" ref="F34:H34" si="28">+F27/F$8</f>
        <v>1.4368311479883511E-2</v>
      </c>
      <c r="G34" s="86"/>
      <c r="H34" s="109">
        <f t="shared" si="28"/>
        <v>1.3840116950065401E-2</v>
      </c>
      <c r="I34" s="86"/>
      <c r="J34" s="109">
        <f t="shared" ref="J34" si="29">+J27/J$8</f>
        <v>1.3407362336477029E-2</v>
      </c>
      <c r="K34" s="86"/>
      <c r="L34" s="109">
        <f t="shared" ref="L34" si="30">+L27/L$8</f>
        <v>1.3115133943689586E-2</v>
      </c>
      <c r="M34" s="86"/>
      <c r="N34" s="109">
        <f t="shared" ref="N34" si="31">+N27/N$8</f>
        <v>1.3070344797495555E-2</v>
      </c>
      <c r="O34" s="86"/>
      <c r="P34" s="110">
        <f t="shared" si="8"/>
        <v>1.3347413754350694E-2</v>
      </c>
      <c r="Q34" s="86"/>
      <c r="R34" s="109">
        <f t="shared" ref="R34" si="32">+R27/R$8</f>
        <v>1.4647771338671714E-2</v>
      </c>
      <c r="S34" s="86"/>
      <c r="T34" s="109">
        <f t="shared" ref="T34" si="33">+T27/T$8</f>
        <v>1.500705146775585E-2</v>
      </c>
      <c r="U34" s="86"/>
      <c r="V34" s="109">
        <f t="shared" ref="V34" si="34">+V27/V$8</f>
        <v>1.6353637092437475E-2</v>
      </c>
      <c r="W34" s="86"/>
      <c r="X34" s="109">
        <f t="shared" ref="X34" si="35">+X27/X$8</f>
        <v>1.5881344219497839E-2</v>
      </c>
      <c r="Y34" s="86"/>
      <c r="Z34" s="110">
        <f t="shared" si="13"/>
        <v>1.5456780445523651E-2</v>
      </c>
      <c r="AB34" s="109">
        <f t="shared" ref="AB34" si="36">+AB27/AB$8</f>
        <v>1.7617527498393563E-2</v>
      </c>
    </row>
    <row r="35" spans="1:28" s="85" customFormat="1" ht="12.75" customHeight="1" x14ac:dyDescent="0.2">
      <c r="A35" s="98" t="s">
        <v>96</v>
      </c>
      <c r="B35" s="108">
        <f>'Non-GAAP Income Statement'!B41</f>
        <v>0.71473936668219962</v>
      </c>
      <c r="C35" s="84"/>
      <c r="D35" s="108">
        <f>'Non-GAAP Income Statement'!D41</f>
        <v>0.72390642237418978</v>
      </c>
      <c r="E35" s="84"/>
      <c r="F35" s="108">
        <f>'Non-GAAP Income Statement'!F41</f>
        <v>0.73393460930944265</v>
      </c>
      <c r="G35" s="84"/>
      <c r="H35" s="107">
        <f>'Non-GAAP Income Statement'!H41</f>
        <v>0.73552973763176122</v>
      </c>
      <c r="I35" s="84"/>
      <c r="J35" s="107">
        <f>'Non-GAAP Income Statement'!J41</f>
        <v>0.73510800121691522</v>
      </c>
      <c r="K35" s="86"/>
      <c r="L35" s="107">
        <f>'Non-GAAP Income Statement'!L41</f>
        <v>0.75002227938948529</v>
      </c>
      <c r="M35" s="84"/>
      <c r="N35" s="107">
        <f>'Non-GAAP Income Statement'!N41</f>
        <v>0.76064594504249139</v>
      </c>
      <c r="O35" s="84"/>
      <c r="P35" s="108">
        <f>'Non-GAAP Income Statement'!P41</f>
        <v>0.74582393374838762</v>
      </c>
      <c r="Q35" s="84"/>
      <c r="R35" s="107">
        <f>'Non-GAAP Income Statement'!R41</f>
        <v>0.73787655348390369</v>
      </c>
      <c r="S35" s="84"/>
      <c r="T35" s="107">
        <f>'Non-GAAP Income Statement'!T41</f>
        <v>0.74978747161001358</v>
      </c>
      <c r="U35" s="86"/>
      <c r="V35" s="107">
        <f>'Non-GAAP Income Statement'!V41</f>
        <v>0.76273696195117457</v>
      </c>
      <c r="W35" s="84"/>
      <c r="X35" s="107">
        <f>'Non-GAAP Income Statement'!X41</f>
        <v>0.77952758420255874</v>
      </c>
      <c r="Y35" s="84"/>
      <c r="Z35" s="108">
        <f>'Non-GAAP Income Statement'!Z41</f>
        <v>0.75721679820127052</v>
      </c>
      <c r="AB35" s="107">
        <f>'Non-GAAP Income Statement'!AB41</f>
        <v>0.7537133722565641</v>
      </c>
    </row>
    <row r="36" spans="1:28" s="85" customFormat="1" ht="12.75" customHeight="1" x14ac:dyDescent="0.2">
      <c r="A36" s="98"/>
      <c r="B36" s="104"/>
      <c r="C36" s="86"/>
      <c r="D36" s="104"/>
      <c r="E36" s="86"/>
      <c r="F36" s="104"/>
      <c r="G36" s="86"/>
      <c r="H36" s="45"/>
      <c r="I36" s="86"/>
      <c r="J36" s="45"/>
      <c r="K36" s="86"/>
      <c r="L36" s="45"/>
      <c r="M36" s="86"/>
      <c r="N36" s="45"/>
      <c r="O36" s="86"/>
      <c r="P36" s="104"/>
      <c r="Q36" s="86"/>
      <c r="R36" s="45"/>
      <c r="S36" s="45"/>
      <c r="T36" s="45"/>
      <c r="U36" s="86"/>
      <c r="V36" s="45"/>
      <c r="X36" s="45"/>
      <c r="Y36" s="86"/>
      <c r="Z36" s="104"/>
      <c r="AB36" s="45"/>
    </row>
    <row r="37" spans="1:28" s="85" customFormat="1" ht="12.75" customHeight="1" x14ac:dyDescent="0.2">
      <c r="A37" s="98" t="s">
        <v>97</v>
      </c>
      <c r="B37" s="100">
        <f>'GAAP Income Statement'!B22</f>
        <v>355.69299999999998</v>
      </c>
      <c r="C37" s="86"/>
      <c r="D37" s="100">
        <f>'GAAP Income Statement'!D22</f>
        <v>385.87200000000001</v>
      </c>
      <c r="E37" s="86"/>
      <c r="F37" s="100">
        <f>'GAAP Income Statement'!F22</f>
        <v>373.375</v>
      </c>
      <c r="G37" s="86"/>
      <c r="H37" s="99">
        <f>'GAAP Income Statement'!H22</f>
        <v>87.334999999999994</v>
      </c>
      <c r="I37" s="86"/>
      <c r="J37" s="99">
        <f>'GAAP Income Statement'!J22</f>
        <v>88.721999999999994</v>
      </c>
      <c r="K37" s="86"/>
      <c r="L37" s="99">
        <f>'GAAP Income Statement'!L22</f>
        <v>93.59</v>
      </c>
      <c r="M37" s="86"/>
      <c r="N37" s="99">
        <f>'GAAP Income Statement'!N22</f>
        <v>97.806999999999988</v>
      </c>
      <c r="O37" s="86"/>
      <c r="P37" s="100">
        <f>'GAAP Income Statement'!P22</f>
        <v>367.45399999999995</v>
      </c>
      <c r="Q37" s="86"/>
      <c r="R37" s="99">
        <f>'GAAP Income Statement'!R22</f>
        <v>89.483999999999995</v>
      </c>
      <c r="S37" s="86"/>
      <c r="T37" s="99">
        <f>'GAAP Income Statement'!T22</f>
        <v>83.864999999999995</v>
      </c>
      <c r="U37" s="86"/>
      <c r="V37" s="99">
        <f>'GAAP Income Statement'!V22</f>
        <v>88.352999999999994</v>
      </c>
      <c r="W37" s="86"/>
      <c r="X37" s="99">
        <f>'GAAP Income Statement'!X22</f>
        <v>85.091999999999999</v>
      </c>
      <c r="Y37" s="86"/>
      <c r="Z37" s="100">
        <f>'GAAP Income Statement'!Z22</f>
        <v>346.79399999999998</v>
      </c>
      <c r="AB37" s="99">
        <f>'GAAP Income Statement'!AB22</f>
        <v>82.429000000000002</v>
      </c>
    </row>
    <row r="38" spans="1:28" s="85" customFormat="1" ht="12.75" customHeight="1" x14ac:dyDescent="0.2">
      <c r="A38" s="101" t="s">
        <v>93</v>
      </c>
      <c r="B38" s="103">
        <f>+B39-B37</f>
        <v>-11.427999999999997</v>
      </c>
      <c r="C38" s="86"/>
      <c r="D38" s="103">
        <f>+D39-D37</f>
        <v>-15.605000000000018</v>
      </c>
      <c r="E38" s="86"/>
      <c r="F38" s="103">
        <f>+F39-F37</f>
        <v>-13.939999999999998</v>
      </c>
      <c r="G38" s="86"/>
      <c r="H38" s="41">
        <f>+H39-H37</f>
        <v>-3.2529999999999859</v>
      </c>
      <c r="I38" s="86"/>
      <c r="J38" s="41">
        <f>+J39-J37</f>
        <v>-3.5469999999999828</v>
      </c>
      <c r="K38" s="86"/>
      <c r="L38" s="41">
        <f>+L39-L37</f>
        <v>-3.6450000000000102</v>
      </c>
      <c r="M38" s="86"/>
      <c r="N38" s="41">
        <f>+N39-N37</f>
        <v>-2.8939999999999912</v>
      </c>
      <c r="O38" s="86"/>
      <c r="P38" s="103">
        <f>+P39-P37</f>
        <v>-13.338999999999942</v>
      </c>
      <c r="Q38" s="86"/>
      <c r="R38" s="41">
        <f>+R39-R37</f>
        <v>-3.2009999999999934</v>
      </c>
      <c r="S38" s="86"/>
      <c r="T38" s="41">
        <f>+T39-T37</f>
        <v>-3.5450000000000017</v>
      </c>
      <c r="U38" s="86"/>
      <c r="V38" s="41">
        <f>+V39-V37</f>
        <v>-4.0749999999999886</v>
      </c>
      <c r="W38" s="86"/>
      <c r="X38" s="41">
        <f>+X39-X37</f>
        <v>-3.367999999999995</v>
      </c>
      <c r="Y38" s="86"/>
      <c r="Z38" s="103">
        <f>+Z39-Z37</f>
        <v>-14.188999999999965</v>
      </c>
      <c r="AB38" s="41">
        <f>+AB39-AB37</f>
        <v>-4.2819999999999965</v>
      </c>
    </row>
    <row r="39" spans="1:28" s="85" customFormat="1" ht="12.75" customHeight="1" x14ac:dyDescent="0.2">
      <c r="A39" s="98" t="s">
        <v>98</v>
      </c>
      <c r="B39" s="23">
        <f>'Non-GAAP Income Statement'!B22</f>
        <v>344.26499999999999</v>
      </c>
      <c r="C39" s="84"/>
      <c r="D39" s="23">
        <f>'Non-GAAP Income Statement'!D22</f>
        <v>370.267</v>
      </c>
      <c r="E39" s="84"/>
      <c r="F39" s="23">
        <f>'Non-GAAP Income Statement'!F22</f>
        <v>359.435</v>
      </c>
      <c r="G39" s="84"/>
      <c r="H39" s="22">
        <f>'Non-GAAP Income Statement'!H22</f>
        <v>84.082000000000008</v>
      </c>
      <c r="I39" s="84"/>
      <c r="J39" s="22">
        <f>'Non-GAAP Income Statement'!J22</f>
        <v>85.175000000000011</v>
      </c>
      <c r="K39" s="86"/>
      <c r="L39" s="22">
        <f>'Non-GAAP Income Statement'!L22</f>
        <v>89.944999999999993</v>
      </c>
      <c r="M39" s="84"/>
      <c r="N39" s="22">
        <f>'Non-GAAP Income Statement'!N22</f>
        <v>94.912999999999997</v>
      </c>
      <c r="O39" s="84"/>
      <c r="P39" s="23">
        <f>'Non-GAAP Income Statement'!P22</f>
        <v>354.11500000000001</v>
      </c>
      <c r="Q39" s="84"/>
      <c r="R39" s="22">
        <f>'Non-GAAP Income Statement'!R22</f>
        <v>86.283000000000001</v>
      </c>
      <c r="S39" s="84"/>
      <c r="T39" s="22">
        <f>'Non-GAAP Income Statement'!T22</f>
        <v>80.319999999999993</v>
      </c>
      <c r="U39" s="86"/>
      <c r="V39" s="22">
        <f>'Non-GAAP Income Statement'!V22</f>
        <v>84.278000000000006</v>
      </c>
      <c r="W39" s="84"/>
      <c r="X39" s="22">
        <f>'Non-GAAP Income Statement'!X22</f>
        <v>81.724000000000004</v>
      </c>
      <c r="Y39" s="84"/>
      <c r="Z39" s="23">
        <f>'Non-GAAP Income Statement'!Z22</f>
        <v>332.60500000000002</v>
      </c>
      <c r="AB39" s="22">
        <f>'Non-GAAP Income Statement'!AB22</f>
        <v>78.147000000000006</v>
      </c>
    </row>
    <row r="40" spans="1:28" s="85" customFormat="1" ht="12.75" customHeight="1" x14ac:dyDescent="0.2">
      <c r="A40" s="98"/>
      <c r="B40" s="104"/>
      <c r="C40" s="84"/>
      <c r="D40" s="104"/>
      <c r="E40" s="84"/>
      <c r="F40" s="104"/>
      <c r="G40" s="84"/>
      <c r="H40" s="45"/>
      <c r="I40" s="84"/>
      <c r="J40" s="45"/>
      <c r="K40" s="86"/>
      <c r="L40" s="45"/>
      <c r="M40" s="84"/>
      <c r="N40" s="45"/>
      <c r="O40" s="84"/>
      <c r="P40" s="104"/>
      <c r="Q40" s="84"/>
      <c r="R40" s="45"/>
      <c r="S40" s="84"/>
      <c r="T40" s="45"/>
      <c r="U40" s="86"/>
      <c r="V40" s="45"/>
      <c r="W40" s="84"/>
      <c r="X40" s="45"/>
      <c r="Y40" s="84"/>
      <c r="Z40" s="104"/>
      <c r="AB40" s="45"/>
    </row>
    <row r="41" spans="1:28" s="85" customFormat="1" ht="12.75" customHeight="1" x14ac:dyDescent="0.2">
      <c r="A41" s="98" t="s">
        <v>99</v>
      </c>
      <c r="B41" s="100">
        <f>'GAAP Income Statement'!B23</f>
        <v>211.40600000000001</v>
      </c>
      <c r="C41" s="86"/>
      <c r="D41" s="100">
        <f>'GAAP Income Statement'!D23</f>
        <v>214.96</v>
      </c>
      <c r="E41" s="86"/>
      <c r="F41" s="100">
        <f>'GAAP Income Statement'!F23</f>
        <v>221.91800000000001</v>
      </c>
      <c r="G41" s="86"/>
      <c r="H41" s="99">
        <f>'GAAP Income Statement'!H23</f>
        <v>53.073</v>
      </c>
      <c r="I41" s="86"/>
      <c r="J41" s="99">
        <f>'GAAP Income Statement'!J23</f>
        <v>55.631</v>
      </c>
      <c r="K41" s="86"/>
      <c r="L41" s="99">
        <f>'GAAP Income Statement'!L23</f>
        <v>57.405000000000001</v>
      </c>
      <c r="M41" s="86"/>
      <c r="N41" s="99">
        <f>'GAAP Income Statement'!N23</f>
        <v>60.387</v>
      </c>
      <c r="O41" s="86"/>
      <c r="P41" s="100">
        <f>'GAAP Income Statement'!P23</f>
        <v>226.49600000000001</v>
      </c>
      <c r="Q41" s="86"/>
      <c r="R41" s="99">
        <f>'GAAP Income Statement'!R23</f>
        <v>61.097000000000001</v>
      </c>
      <c r="S41" s="86"/>
      <c r="T41" s="99">
        <f>'GAAP Income Statement'!T23</f>
        <v>60.158000000000001</v>
      </c>
      <c r="U41" s="86"/>
      <c r="V41" s="99">
        <f>'GAAP Income Statement'!V23</f>
        <v>54.078000000000003</v>
      </c>
      <c r="W41" s="86"/>
      <c r="X41" s="99">
        <f>'GAAP Income Statement'!X23</f>
        <v>52.18</v>
      </c>
      <c r="Y41" s="86"/>
      <c r="Z41" s="100">
        <f>'GAAP Income Statement'!Z23</f>
        <v>227.51300000000001</v>
      </c>
      <c r="AB41" s="99">
        <f>'GAAP Income Statement'!AB23</f>
        <v>57.668999999999997</v>
      </c>
    </row>
    <row r="42" spans="1:28" s="85" customFormat="1" ht="12.75" customHeight="1" x14ac:dyDescent="0.2">
      <c r="A42" s="101" t="s">
        <v>93</v>
      </c>
      <c r="B42" s="103">
        <f>+B43-B41</f>
        <v>-8.546999999999997</v>
      </c>
      <c r="C42" s="86"/>
      <c r="D42" s="103">
        <f>+D43-D41</f>
        <v>-8.7609999999999957</v>
      </c>
      <c r="E42" s="86"/>
      <c r="F42" s="103">
        <f>+F43-F41</f>
        <v>-8.5900000000000034</v>
      </c>
      <c r="G42" s="86"/>
      <c r="H42" s="41">
        <f>+H43-H41</f>
        <v>-2.6890000000000001</v>
      </c>
      <c r="I42" s="86"/>
      <c r="J42" s="41">
        <f>+J43-J41</f>
        <v>-2.1469999999999985</v>
      </c>
      <c r="K42" s="86"/>
      <c r="L42" s="41">
        <f>+L43-L41</f>
        <v>-2.2310000000000016</v>
      </c>
      <c r="M42" s="86"/>
      <c r="N42" s="41">
        <f>+N43-N41</f>
        <v>-3.0519999999999996</v>
      </c>
      <c r="O42" s="86"/>
      <c r="P42" s="103">
        <f>+P43-P41</f>
        <v>-10.119</v>
      </c>
      <c r="Q42" s="86"/>
      <c r="R42" s="41">
        <f>+R43-R41</f>
        <v>-3.0859999999999985</v>
      </c>
      <c r="S42" s="86"/>
      <c r="T42" s="41">
        <f>+T43-T41</f>
        <v>-3.0010000000000048</v>
      </c>
      <c r="U42" s="86"/>
      <c r="V42" s="41">
        <f>+V43-V41</f>
        <v>-2.9280000000000044</v>
      </c>
      <c r="W42" s="86"/>
      <c r="X42" s="41">
        <f>+X43-X41</f>
        <v>-2.607999999999997</v>
      </c>
      <c r="Y42" s="86"/>
      <c r="Z42" s="103">
        <f>+Z43-Z41</f>
        <v>-11.62299999999999</v>
      </c>
      <c r="AB42" s="41">
        <f>+AB43-AB41</f>
        <v>-2.5129999999999981</v>
      </c>
    </row>
    <row r="43" spans="1:28" s="85" customFormat="1" ht="12.75" customHeight="1" x14ac:dyDescent="0.2">
      <c r="A43" s="98" t="s">
        <v>100</v>
      </c>
      <c r="B43" s="23">
        <f>'Non-GAAP Income Statement'!B23</f>
        <v>202.85900000000001</v>
      </c>
      <c r="C43" s="84"/>
      <c r="D43" s="23">
        <f>'Non-GAAP Income Statement'!D23</f>
        <v>206.19900000000001</v>
      </c>
      <c r="E43" s="84"/>
      <c r="F43" s="23">
        <f>'Non-GAAP Income Statement'!F23</f>
        <v>213.328</v>
      </c>
      <c r="G43" s="84"/>
      <c r="H43" s="22">
        <f>'Non-GAAP Income Statement'!H23</f>
        <v>50.384</v>
      </c>
      <c r="I43" s="84"/>
      <c r="J43" s="22">
        <f>'Non-GAAP Income Statement'!J23</f>
        <v>53.484000000000002</v>
      </c>
      <c r="K43" s="86"/>
      <c r="L43" s="22">
        <f>'Non-GAAP Income Statement'!L23</f>
        <v>55.173999999999999</v>
      </c>
      <c r="M43" s="84"/>
      <c r="N43" s="22">
        <f>'Non-GAAP Income Statement'!N23</f>
        <v>57.335000000000001</v>
      </c>
      <c r="O43" s="84"/>
      <c r="P43" s="23">
        <f>'Non-GAAP Income Statement'!P23</f>
        <v>216.37700000000001</v>
      </c>
      <c r="Q43" s="84"/>
      <c r="R43" s="22">
        <f>'Non-GAAP Income Statement'!R23</f>
        <v>58.011000000000003</v>
      </c>
      <c r="S43" s="84"/>
      <c r="T43" s="22">
        <f>'Non-GAAP Income Statement'!T23</f>
        <v>57.156999999999996</v>
      </c>
      <c r="U43" s="86"/>
      <c r="V43" s="22">
        <f>'Non-GAAP Income Statement'!V23</f>
        <v>51.15</v>
      </c>
      <c r="W43" s="84"/>
      <c r="X43" s="22">
        <f>'Non-GAAP Income Statement'!X23</f>
        <v>49.572000000000003</v>
      </c>
      <c r="Y43" s="84"/>
      <c r="Z43" s="23">
        <f>'Non-GAAP Income Statement'!Z23</f>
        <v>215.89000000000001</v>
      </c>
      <c r="AB43" s="22">
        <f>'Non-GAAP Income Statement'!AB23</f>
        <v>55.155999999999999</v>
      </c>
    </row>
    <row r="44" spans="1:28" s="85" customFormat="1" ht="12.75" customHeight="1" x14ac:dyDescent="0.2">
      <c r="A44" s="98"/>
      <c r="B44" s="104"/>
      <c r="C44" s="86"/>
      <c r="D44" s="104"/>
      <c r="E44" s="86"/>
      <c r="F44" s="104"/>
      <c r="G44" s="86"/>
      <c r="H44" s="45"/>
      <c r="I44" s="86"/>
      <c r="J44" s="45"/>
      <c r="K44" s="86"/>
      <c r="L44" s="45"/>
      <c r="M44" s="86"/>
      <c r="N44" s="45"/>
      <c r="O44" s="86"/>
      <c r="P44" s="104"/>
      <c r="Q44" s="86"/>
      <c r="R44" s="45"/>
      <c r="S44" s="86"/>
      <c r="T44" s="45"/>
      <c r="U44" s="86"/>
      <c r="V44" s="45"/>
      <c r="W44" s="86"/>
      <c r="X44" s="45"/>
      <c r="Y44" s="86"/>
      <c r="Z44" s="104"/>
      <c r="AB44" s="45"/>
    </row>
    <row r="45" spans="1:28" s="85" customFormat="1" ht="12.75" customHeight="1" x14ac:dyDescent="0.2">
      <c r="A45" s="98" t="s">
        <v>101</v>
      </c>
      <c r="B45" s="100">
        <f>'GAAP Income Statement'!B24</f>
        <v>107.649</v>
      </c>
      <c r="C45" s="84"/>
      <c r="D45" s="100">
        <f>'GAAP Income Statement'!D24</f>
        <v>109.392</v>
      </c>
      <c r="E45" s="84"/>
      <c r="F45" s="100">
        <f>'GAAP Income Statement'!F24</f>
        <v>119.20200000000001</v>
      </c>
      <c r="G45" s="84"/>
      <c r="H45" s="99">
        <f>'GAAP Income Statement'!H24</f>
        <v>27.834</v>
      </c>
      <c r="I45" s="84"/>
      <c r="J45" s="99">
        <f>'GAAP Income Statement'!J24</f>
        <v>31.352</v>
      </c>
      <c r="K45" s="86"/>
      <c r="L45" s="99">
        <f>'GAAP Income Statement'!L24</f>
        <v>31.667000000000002</v>
      </c>
      <c r="M45" s="84"/>
      <c r="N45" s="99">
        <f>'GAAP Income Statement'!N24</f>
        <v>41.372</v>
      </c>
      <c r="O45" s="84"/>
      <c r="P45" s="100">
        <f>'GAAP Income Statement'!P24</f>
        <v>132.22500000000002</v>
      </c>
      <c r="Q45" s="84"/>
      <c r="R45" s="99">
        <f>'GAAP Income Statement'!R24</f>
        <v>35.129999999999995</v>
      </c>
      <c r="S45" s="84"/>
      <c r="T45" s="99">
        <f>'GAAP Income Statement'!T24</f>
        <v>32.393999999999998</v>
      </c>
      <c r="U45" s="86"/>
      <c r="V45" s="99">
        <f>'GAAP Income Statement'!V24</f>
        <v>46.201000000000001</v>
      </c>
      <c r="W45" s="84"/>
      <c r="X45" s="99">
        <f>'GAAP Income Statement'!X24</f>
        <v>111.32199999999999</v>
      </c>
      <c r="Y45" s="84"/>
      <c r="Z45" s="100">
        <f>'GAAP Income Statement'!Z24</f>
        <v>225.04699999999997</v>
      </c>
      <c r="AB45" s="99">
        <f>'GAAP Income Statement'!AB24</f>
        <v>38.567</v>
      </c>
    </row>
    <row r="46" spans="1:28" s="85" customFormat="1" ht="12.75" customHeight="1" x14ac:dyDescent="0.2">
      <c r="A46" s="101" t="s">
        <v>93</v>
      </c>
      <c r="B46" s="102">
        <v>-17.68</v>
      </c>
      <c r="C46" s="84"/>
      <c r="D46" s="102">
        <v>-18.001000000000001</v>
      </c>
      <c r="E46" s="84"/>
      <c r="F46" s="102">
        <v>-16.777999999999999</v>
      </c>
      <c r="G46" s="84"/>
      <c r="H46" s="45">
        <v>-4.2960000000000003</v>
      </c>
      <c r="I46" s="84"/>
      <c r="J46" s="45">
        <v>-4.5519999999999996</v>
      </c>
      <c r="K46" s="86"/>
      <c r="L46" s="45">
        <v>-4.1459999999999999</v>
      </c>
      <c r="M46" s="84"/>
      <c r="N46" s="45">
        <v>-3.9249999999999998</v>
      </c>
      <c r="O46" s="84"/>
      <c r="P46" s="102">
        <f t="shared" ref="P46:P47" si="37">SUM(H46,J46,L46,N46)</f>
        <v>-16.919</v>
      </c>
      <c r="Q46" s="84"/>
      <c r="R46" s="45">
        <v>-2.3479999999999999</v>
      </c>
      <c r="S46" s="84"/>
      <c r="T46" s="45">
        <v>-3.665</v>
      </c>
      <c r="U46" s="86"/>
      <c r="V46" s="45">
        <v>-4.6180000000000003</v>
      </c>
      <c r="W46" s="84"/>
      <c r="X46" s="45">
        <v>-3.5720000000000001</v>
      </c>
      <c r="Y46" s="84"/>
      <c r="Z46" s="102">
        <f t="shared" ref="Z46:Z49" si="38">SUM(R46,T46,V46,X46)</f>
        <v>-14.202999999999999</v>
      </c>
      <c r="AB46" s="45">
        <v>-13.038</v>
      </c>
    </row>
    <row r="47" spans="1:28" s="85" customFormat="1" ht="12.75" customHeight="1" x14ac:dyDescent="0.2">
      <c r="A47" s="101" t="s">
        <v>102</v>
      </c>
      <c r="B47" s="102">
        <v>-7.7610000000000001</v>
      </c>
      <c r="C47" s="84"/>
      <c r="D47" s="102">
        <v>-3.8330000000000002</v>
      </c>
      <c r="E47" s="84"/>
      <c r="F47" s="102">
        <v>-9.8550000000000004</v>
      </c>
      <c r="G47" s="84"/>
      <c r="H47" s="45">
        <v>-1.3049999999999999</v>
      </c>
      <c r="I47" s="84"/>
      <c r="J47" s="45">
        <v>-3.9350000000000001</v>
      </c>
      <c r="K47" s="86"/>
      <c r="L47" s="45">
        <v>-1.528</v>
      </c>
      <c r="M47" s="84"/>
      <c r="N47" s="45">
        <v>-6.3280000000000003</v>
      </c>
      <c r="O47" s="84"/>
      <c r="P47" s="102">
        <f t="shared" si="37"/>
        <v>-13.096</v>
      </c>
      <c r="Q47" s="84"/>
      <c r="R47" s="45">
        <v>-4.0330000000000004</v>
      </c>
      <c r="S47" s="84"/>
      <c r="T47" s="45">
        <v>-1.8919999999999999</v>
      </c>
      <c r="U47" s="86"/>
      <c r="V47" s="45">
        <v>-2.778</v>
      </c>
      <c r="W47" s="84"/>
      <c r="X47" s="45">
        <v>-0.21</v>
      </c>
      <c r="Y47" s="84"/>
      <c r="Z47" s="102">
        <f t="shared" si="38"/>
        <v>-8.913000000000002</v>
      </c>
      <c r="AB47" s="45">
        <v>-1.2070000000000001</v>
      </c>
    </row>
    <row r="48" spans="1:28" s="85" customFormat="1" ht="12.75" customHeight="1" x14ac:dyDescent="0.2">
      <c r="A48" s="101" t="s">
        <v>103</v>
      </c>
      <c r="B48" s="102">
        <v>0</v>
      </c>
      <c r="C48" s="84"/>
      <c r="D48" s="102">
        <v>0</v>
      </c>
      <c r="E48" s="84"/>
      <c r="F48" s="102">
        <v>0</v>
      </c>
      <c r="G48" s="84"/>
      <c r="H48" s="45">
        <v>0</v>
      </c>
      <c r="I48" s="84"/>
      <c r="J48" s="45">
        <v>0</v>
      </c>
      <c r="K48" s="86"/>
      <c r="L48" s="45">
        <v>0</v>
      </c>
      <c r="M48" s="84"/>
      <c r="N48" s="45">
        <v>0</v>
      </c>
      <c r="O48" s="84"/>
      <c r="P48" s="102">
        <v>0</v>
      </c>
      <c r="Q48" s="84"/>
      <c r="R48" s="45">
        <v>-1.6839999999999999</v>
      </c>
      <c r="S48" s="84"/>
      <c r="T48" s="45">
        <v>-1.7130000000000001</v>
      </c>
      <c r="U48" s="86"/>
      <c r="V48" s="45">
        <v>-1.9950000000000001</v>
      </c>
      <c r="W48" s="84"/>
      <c r="X48" s="45">
        <v>-67.778999999999996</v>
      </c>
      <c r="Y48" s="84"/>
      <c r="Z48" s="102">
        <f t="shared" si="38"/>
        <v>-73.170999999999992</v>
      </c>
      <c r="AB48" s="45">
        <v>0</v>
      </c>
    </row>
    <row r="49" spans="1:28" s="85" customFormat="1" ht="12.75" customHeight="1" x14ac:dyDescent="0.2">
      <c r="A49" s="101" t="s">
        <v>104</v>
      </c>
      <c r="B49" s="103">
        <v>0</v>
      </c>
      <c r="C49" s="84"/>
      <c r="D49" s="103">
        <v>0</v>
      </c>
      <c r="E49" s="84"/>
      <c r="F49" s="103">
        <v>0</v>
      </c>
      <c r="G49" s="84"/>
      <c r="H49" s="41">
        <v>0</v>
      </c>
      <c r="I49" s="84"/>
      <c r="J49" s="41">
        <v>0</v>
      </c>
      <c r="K49" s="86"/>
      <c r="L49" s="41">
        <v>0</v>
      </c>
      <c r="M49" s="84"/>
      <c r="N49" s="41">
        <v>0</v>
      </c>
      <c r="O49" s="84"/>
      <c r="P49" s="103">
        <v>0</v>
      </c>
      <c r="Q49" s="84"/>
      <c r="R49" s="41">
        <v>0</v>
      </c>
      <c r="S49" s="84"/>
      <c r="T49" s="41">
        <v>0</v>
      </c>
      <c r="U49" s="86"/>
      <c r="V49" s="41">
        <v>-13.622</v>
      </c>
      <c r="W49" s="84"/>
      <c r="X49" s="41">
        <v>-14.54</v>
      </c>
      <c r="Y49" s="84"/>
      <c r="Z49" s="103">
        <f t="shared" si="38"/>
        <v>-28.161999999999999</v>
      </c>
      <c r="AB49" s="41">
        <v>0</v>
      </c>
    </row>
    <row r="50" spans="1:28" s="85" customFormat="1" ht="12.75" customHeight="1" x14ac:dyDescent="0.2">
      <c r="A50" s="98" t="s">
        <v>105</v>
      </c>
      <c r="B50" s="23">
        <f>'Non-GAAP Income Statement'!B24</f>
        <v>82.207999999999998</v>
      </c>
      <c r="C50" s="84"/>
      <c r="D50" s="23">
        <f>'Non-GAAP Income Statement'!D24</f>
        <v>87.558000000000007</v>
      </c>
      <c r="E50" s="84"/>
      <c r="F50" s="23">
        <f>'Non-GAAP Income Statement'!F24</f>
        <v>92.569000000000003</v>
      </c>
      <c r="G50" s="84"/>
      <c r="H50" s="22">
        <f>'Non-GAAP Income Statement'!H24</f>
        <v>22.233000000000001</v>
      </c>
      <c r="I50" s="84"/>
      <c r="J50" s="22">
        <f>'Non-GAAP Income Statement'!J24</f>
        <v>22.865000000000002</v>
      </c>
      <c r="K50" s="86"/>
      <c r="L50" s="22">
        <f>'Non-GAAP Income Statement'!L24</f>
        <v>25.992999999999999</v>
      </c>
      <c r="M50" s="84"/>
      <c r="N50" s="22">
        <f>'Non-GAAP Income Statement'!N24</f>
        <v>31.119</v>
      </c>
      <c r="O50" s="84"/>
      <c r="P50" s="23">
        <f>'Non-GAAP Income Statement'!P24</f>
        <v>102.21</v>
      </c>
      <c r="Q50" s="84"/>
      <c r="R50" s="22">
        <f>'Non-GAAP Income Statement'!R24</f>
        <v>27.064999999999998</v>
      </c>
      <c r="S50" s="84"/>
      <c r="T50" s="22">
        <f>'Non-GAAP Income Statement'!T24</f>
        <v>25.124000000000002</v>
      </c>
      <c r="U50" s="86"/>
      <c r="V50" s="22">
        <f>'Non-GAAP Income Statement'!V24</f>
        <v>23.187999999999999</v>
      </c>
      <c r="W50" s="84"/>
      <c r="X50" s="22">
        <f>'Non-GAAP Income Statement'!X24</f>
        <v>25.221</v>
      </c>
      <c r="Y50" s="84"/>
      <c r="Z50" s="23">
        <f>'Non-GAAP Income Statement'!Z24</f>
        <v>100.598</v>
      </c>
      <c r="AB50" s="22">
        <f>'Non-GAAP Income Statement'!AB24</f>
        <v>24.321999999999999</v>
      </c>
    </row>
    <row r="51" spans="1:28" s="85" customFormat="1" ht="12.75" customHeight="1" x14ac:dyDescent="0.2">
      <c r="A51" s="98"/>
      <c r="B51" s="104"/>
      <c r="C51" s="84"/>
      <c r="D51" s="104"/>
      <c r="E51" s="84"/>
      <c r="F51" s="104"/>
      <c r="G51" s="84"/>
      <c r="H51" s="45"/>
      <c r="I51" s="84"/>
      <c r="J51" s="45"/>
      <c r="K51" s="86"/>
      <c r="L51" s="45"/>
      <c r="M51" s="84"/>
      <c r="N51" s="45"/>
      <c r="O51" s="84"/>
      <c r="P51" s="104"/>
      <c r="Q51" s="84"/>
      <c r="R51" s="45"/>
      <c r="S51" s="45"/>
      <c r="T51" s="45"/>
      <c r="U51" s="86"/>
      <c r="V51" s="45"/>
      <c r="X51" s="45"/>
      <c r="Y51" s="84"/>
      <c r="Z51" s="104"/>
      <c r="AB51" s="45"/>
    </row>
    <row r="52" spans="1:28" s="85" customFormat="1" ht="12.75" customHeight="1" x14ac:dyDescent="0.2">
      <c r="A52" s="98" t="s">
        <v>106</v>
      </c>
      <c r="B52" s="100">
        <f>'GAAP Income Statement'!B28</f>
        <v>117.11400000000003</v>
      </c>
      <c r="C52" s="86"/>
      <c r="D52" s="100">
        <f>'GAAP Income Statement'!D28</f>
        <v>128.09600000000012</v>
      </c>
      <c r="E52" s="86"/>
      <c r="F52" s="100">
        <f>'GAAP Income Statement'!F28</f>
        <v>127.32400000000018</v>
      </c>
      <c r="G52" s="86"/>
      <c r="H52" s="99">
        <f>'GAAP Income Statement'!H28</f>
        <v>54.870999999999981</v>
      </c>
      <c r="I52" s="86"/>
      <c r="J52" s="99">
        <f>'GAAP Income Statement'!J28</f>
        <v>51.213000000000022</v>
      </c>
      <c r="K52" s="86"/>
      <c r="L52" s="99">
        <f>'GAAP Income Statement'!L28</f>
        <v>54.384000000000015</v>
      </c>
      <c r="M52" s="86"/>
      <c r="N52" s="99">
        <f>'GAAP Income Statement'!N28</f>
        <v>36.108000000000089</v>
      </c>
      <c r="O52" s="86"/>
      <c r="P52" s="100">
        <f>'GAAP Income Statement'!P28</f>
        <v>196.57600000000025</v>
      </c>
      <c r="Q52" s="86"/>
      <c r="R52" s="99">
        <f>'GAAP Income Statement'!R28</f>
        <v>37.631</v>
      </c>
      <c r="S52" s="86"/>
      <c r="T52" s="99">
        <f>'GAAP Income Statement'!T28</f>
        <v>3.988000000000028</v>
      </c>
      <c r="U52" s="86"/>
      <c r="V52" s="99">
        <f>'GAAP Income Statement'!V28</f>
        <v>21.607000000000028</v>
      </c>
      <c r="W52" s="86"/>
      <c r="X52" s="99">
        <f>'GAAP Income Statement'!X28</f>
        <v>-21.609999999999985</v>
      </c>
      <c r="Y52" s="86"/>
      <c r="Z52" s="100">
        <f>'GAAP Income Statement'!Z28</f>
        <v>41.615999999999985</v>
      </c>
      <c r="AB52" s="99">
        <f>'GAAP Income Statement'!AB28</f>
        <v>-13.292000000000002</v>
      </c>
    </row>
    <row r="53" spans="1:28" s="86" customFormat="1" ht="12.75" customHeight="1" x14ac:dyDescent="0.2">
      <c r="A53" s="101" t="s">
        <v>92</v>
      </c>
      <c r="B53" s="102">
        <f>+B9+B10+B12</f>
        <v>2.6059999999999999</v>
      </c>
      <c r="D53" s="102">
        <f>+D9+D10+D12</f>
        <v>2.4849999999999999</v>
      </c>
      <c r="F53" s="102">
        <f>+F9+F10+F12</f>
        <v>3.0349999999999997</v>
      </c>
      <c r="H53" s="57">
        <f>+H9+H10+H12</f>
        <v>0</v>
      </c>
      <c r="J53" s="57">
        <f>+J9+J10+J12</f>
        <v>0</v>
      </c>
      <c r="L53" s="45">
        <f>+L9+L10+L12</f>
        <v>0</v>
      </c>
      <c r="N53" s="57">
        <f>+N9+N10+N12</f>
        <v>0.96099999999999997</v>
      </c>
      <c r="P53" s="102">
        <f>+P9+P10+P12</f>
        <v>0.96099999999999997</v>
      </c>
      <c r="R53" s="57">
        <f>+R9+R10+R12</f>
        <v>1.4039999999999999</v>
      </c>
      <c r="S53" s="57"/>
      <c r="T53" s="45">
        <f>+T9+T10+T12</f>
        <v>1.133</v>
      </c>
      <c r="V53" s="45">
        <f>+V9+V10+V12</f>
        <v>0.78600000000000003</v>
      </c>
      <c r="W53" s="85"/>
      <c r="X53" s="57">
        <f>+X9+X10+X12</f>
        <v>0.54600000000000004</v>
      </c>
      <c r="Z53" s="102">
        <f>+Z9+Z10+Z12</f>
        <v>3.8690000000000002</v>
      </c>
      <c r="AA53" s="106"/>
      <c r="AB53" s="57">
        <f>+AB9+AB10+AB12</f>
        <v>0.497</v>
      </c>
    </row>
    <row r="54" spans="1:28" s="86" customFormat="1" ht="12.75" customHeight="1" x14ac:dyDescent="0.2">
      <c r="A54" s="101" t="s">
        <v>93</v>
      </c>
      <c r="B54" s="102">
        <f>-B16-B17-B38-B42-B46</f>
        <v>45.401999999999994</v>
      </c>
      <c r="D54" s="102">
        <f>-D16-D17-D38-D42-D46</f>
        <v>51.305000000000021</v>
      </c>
      <c r="F54" s="102">
        <f>-F16-F17-F38-F42-F46</f>
        <v>48.786999999999999</v>
      </c>
      <c r="H54" s="57">
        <f>-H16-H17-H38-H42-H46</f>
        <v>12.763999999999985</v>
      </c>
      <c r="J54" s="57">
        <f>-J16-J17-J38-J42-J46</f>
        <v>12.565999999999981</v>
      </c>
      <c r="L54" s="45">
        <f>-L16-L17-L38-L42-L46</f>
        <v>12.532000000000011</v>
      </c>
      <c r="N54" s="57">
        <f>-N16-N17-N38-N42-N46</f>
        <v>12.92499999999999</v>
      </c>
      <c r="P54" s="102">
        <f>-P16-P17-P38-P42-P46</f>
        <v>50.786999999999935</v>
      </c>
      <c r="R54" s="57">
        <f>-R16-R17-R38-R42-R46</f>
        <v>11.24199999999999</v>
      </c>
      <c r="S54" s="57"/>
      <c r="T54" s="45">
        <f>-T16-T17-T38-T42-T46</f>
        <v>12.822000000000006</v>
      </c>
      <c r="V54" s="45">
        <f>-V16-V17-V38-V42-V46</f>
        <v>14.070999999999993</v>
      </c>
      <c r="W54" s="85"/>
      <c r="X54" s="57">
        <f>-X16-X17-X38-X42-X46</f>
        <v>12.04699999999999</v>
      </c>
      <c r="Z54" s="102">
        <f>-Z16-Z17-Z38-Z42-Z46</f>
        <v>50.18199999999996</v>
      </c>
      <c r="AA54" s="106"/>
      <c r="AB54" s="57">
        <f>-AB16-AB17-AB38-AB42-AB46</f>
        <v>23.188999999999993</v>
      </c>
    </row>
    <row r="55" spans="1:28" s="86" customFormat="1" ht="12.75" customHeight="1" x14ac:dyDescent="0.2">
      <c r="A55" s="101" t="s">
        <v>88</v>
      </c>
      <c r="B55" s="102">
        <f>-B18</f>
        <v>0</v>
      </c>
      <c r="D55" s="102">
        <f>-D18</f>
        <v>0</v>
      </c>
      <c r="F55" s="102">
        <f>-F18</f>
        <v>0</v>
      </c>
      <c r="H55" s="57">
        <f>-H18</f>
        <v>0</v>
      </c>
      <c r="J55" s="57">
        <f>-J18</f>
        <v>0</v>
      </c>
      <c r="L55" s="45">
        <f>-L18</f>
        <v>0</v>
      </c>
      <c r="N55" s="57">
        <f>-N18</f>
        <v>-6.5000000000000002E-2</v>
      </c>
      <c r="P55" s="102">
        <f>-P18</f>
        <v>-6.5000000000000002E-2</v>
      </c>
      <c r="R55" s="57">
        <f>-R18</f>
        <v>-0.106</v>
      </c>
      <c r="S55" s="57"/>
      <c r="T55" s="45">
        <f>-T18</f>
        <v>-0.151</v>
      </c>
      <c r="V55" s="45">
        <f>-V18</f>
        <v>-0.13500000000000001</v>
      </c>
      <c r="W55" s="85"/>
      <c r="X55" s="57">
        <f>-X18</f>
        <v>-0.13400000000000001</v>
      </c>
      <c r="Z55" s="102">
        <f>-Z18</f>
        <v>-0.52600000000000002</v>
      </c>
      <c r="AA55" s="106"/>
      <c r="AB55" s="57">
        <f>-AB18</f>
        <v>-0.13200000000000001</v>
      </c>
    </row>
    <row r="56" spans="1:28" s="85" customFormat="1" ht="12.75" customHeight="1" x14ac:dyDescent="0.2">
      <c r="A56" s="101" t="s">
        <v>102</v>
      </c>
      <c r="B56" s="102">
        <f>-B47</f>
        <v>7.7610000000000001</v>
      </c>
      <c r="C56" s="86"/>
      <c r="D56" s="102">
        <f>-D47</f>
        <v>3.8330000000000002</v>
      </c>
      <c r="E56" s="86"/>
      <c r="F56" s="102">
        <f>-F47</f>
        <v>9.8550000000000004</v>
      </c>
      <c r="G56" s="86"/>
      <c r="H56" s="57">
        <f>-H47</f>
        <v>1.3049999999999999</v>
      </c>
      <c r="I56" s="86"/>
      <c r="J56" s="57">
        <f>-J47</f>
        <v>3.9350000000000001</v>
      </c>
      <c r="K56" s="86"/>
      <c r="L56" s="45">
        <f>-L47</f>
        <v>1.528</v>
      </c>
      <c r="M56" s="86"/>
      <c r="N56" s="57">
        <f>-N47</f>
        <v>6.3280000000000003</v>
      </c>
      <c r="O56" s="86"/>
      <c r="P56" s="102">
        <f>-P47</f>
        <v>13.096</v>
      </c>
      <c r="Q56" s="86"/>
      <c r="R56" s="57">
        <f>-R47</f>
        <v>4.0330000000000004</v>
      </c>
      <c r="S56" s="57"/>
      <c r="T56" s="45">
        <f>-T47</f>
        <v>1.8919999999999999</v>
      </c>
      <c r="U56" s="86"/>
      <c r="V56" s="45">
        <f>-V47</f>
        <v>2.778</v>
      </c>
      <c r="X56" s="57">
        <f>-X47</f>
        <v>0.21</v>
      </c>
      <c r="Y56" s="86"/>
      <c r="Z56" s="102">
        <f>-Z47</f>
        <v>8.913000000000002</v>
      </c>
      <c r="AA56" s="106"/>
      <c r="AB56" s="57">
        <f>-AB47</f>
        <v>1.2070000000000001</v>
      </c>
    </row>
    <row r="57" spans="1:28" s="85" customFormat="1" ht="12.75" customHeight="1" x14ac:dyDescent="0.2">
      <c r="A57" s="101" t="s">
        <v>103</v>
      </c>
      <c r="B57" s="102">
        <v>0</v>
      </c>
      <c r="C57" s="86"/>
      <c r="D57" s="102">
        <v>0</v>
      </c>
      <c r="E57" s="86"/>
      <c r="F57" s="102">
        <v>0</v>
      </c>
      <c r="G57" s="86"/>
      <c r="H57" s="57">
        <v>0</v>
      </c>
      <c r="I57" s="86"/>
      <c r="J57" s="57">
        <v>0</v>
      </c>
      <c r="K57" s="86"/>
      <c r="L57" s="45">
        <v>0</v>
      </c>
      <c r="M57" s="86"/>
      <c r="N57" s="57">
        <v>0</v>
      </c>
      <c r="O57" s="86"/>
      <c r="P57" s="102">
        <v>0</v>
      </c>
      <c r="Q57" s="86"/>
      <c r="R57" s="57">
        <v>1.6839999999999999</v>
      </c>
      <c r="S57" s="57"/>
      <c r="T57" s="45">
        <v>1.7130000000000001</v>
      </c>
      <c r="U57" s="86"/>
      <c r="V57" s="45">
        <v>1.9950000000000001</v>
      </c>
      <c r="X57" s="57">
        <f>-X48</f>
        <v>67.778999999999996</v>
      </c>
      <c r="Y57" s="86"/>
      <c r="Z57" s="102">
        <f t="shared" ref="Z57:Z58" si="39">SUM(R57,T57,V57,X57)</f>
        <v>73.170999999999992</v>
      </c>
      <c r="AA57" s="106"/>
      <c r="AB57" s="57">
        <f>-AB48</f>
        <v>0</v>
      </c>
    </row>
    <row r="58" spans="1:28" s="85" customFormat="1" ht="12.75" customHeight="1" x14ac:dyDescent="0.2">
      <c r="A58" s="101" t="s">
        <v>104</v>
      </c>
      <c r="B58" s="102">
        <v>0</v>
      </c>
      <c r="C58" s="86"/>
      <c r="D58" s="102">
        <v>0</v>
      </c>
      <c r="E58" s="86"/>
      <c r="F58" s="102">
        <v>0</v>
      </c>
      <c r="G58" s="86"/>
      <c r="H58" s="57">
        <v>0</v>
      </c>
      <c r="I58" s="86"/>
      <c r="J58" s="57">
        <v>0</v>
      </c>
      <c r="K58" s="86"/>
      <c r="L58" s="45">
        <v>0</v>
      </c>
      <c r="M58" s="86"/>
      <c r="N58" s="57">
        <v>0</v>
      </c>
      <c r="O58" s="86"/>
      <c r="P58" s="102">
        <v>0</v>
      </c>
      <c r="Q58" s="86"/>
      <c r="R58" s="57">
        <v>0</v>
      </c>
      <c r="S58" s="57"/>
      <c r="T58" s="45">
        <v>0</v>
      </c>
      <c r="U58" s="86"/>
      <c r="V58" s="45">
        <f>-V49</f>
        <v>13.622</v>
      </c>
      <c r="X58" s="57">
        <f>-X49</f>
        <v>14.54</v>
      </c>
      <c r="Y58" s="86"/>
      <c r="Z58" s="102">
        <f t="shared" si="39"/>
        <v>28.161999999999999</v>
      </c>
      <c r="AA58" s="106"/>
      <c r="AB58" s="57">
        <f>-AB49</f>
        <v>0</v>
      </c>
    </row>
    <row r="59" spans="1:28" s="85" customFormat="1" ht="12.75" customHeight="1" x14ac:dyDescent="0.2">
      <c r="A59" s="111" t="s">
        <v>59</v>
      </c>
      <c r="B59" s="102">
        <f>'GAAP Income Statement'!B26</f>
        <v>0</v>
      </c>
      <c r="C59" s="86"/>
      <c r="D59" s="102">
        <f>'GAAP Income Statement'!D26</f>
        <v>24.928000000000001</v>
      </c>
      <c r="E59" s="86"/>
      <c r="F59" s="102">
        <f>'GAAP Income Statement'!F26</f>
        <v>52.196999999999996</v>
      </c>
      <c r="G59" s="86"/>
      <c r="H59" s="57">
        <f>'GAAP Income Statement'!H26</f>
        <v>1.0669999999999999</v>
      </c>
      <c r="I59" s="86"/>
      <c r="J59" s="57">
        <f>'GAAP Income Statement'!J26</f>
        <v>0</v>
      </c>
      <c r="K59" s="86"/>
      <c r="L59" s="45">
        <f>'GAAP Income Statement'!L26</f>
        <v>0.51400000000000001</v>
      </c>
      <c r="M59" s="86"/>
      <c r="N59" s="57">
        <f>'GAAP Income Statement'!N26</f>
        <v>26.824999999999999</v>
      </c>
      <c r="O59" s="86"/>
      <c r="P59" s="102">
        <f>'GAAP Income Statement'!P26</f>
        <v>28.405999999999999</v>
      </c>
      <c r="Q59" s="86"/>
      <c r="R59" s="57">
        <f>'GAAP Income Statement'!R26</f>
        <v>-0.255</v>
      </c>
      <c r="S59" s="57"/>
      <c r="T59" s="45">
        <f>'GAAP Income Statement'!T26</f>
        <v>38.487000000000002</v>
      </c>
      <c r="U59" s="86"/>
      <c r="V59" s="45">
        <f>'GAAP Income Statement'!V26</f>
        <v>4.3929999999999998</v>
      </c>
      <c r="X59" s="57">
        <f>'GAAP Income Statement'!X26</f>
        <v>0.78400000000000003</v>
      </c>
      <c r="Y59" s="86"/>
      <c r="Z59" s="102">
        <f>'GAAP Income Statement'!Z26</f>
        <v>43.408999999999999</v>
      </c>
      <c r="AA59" s="106"/>
      <c r="AB59" s="57">
        <f>'GAAP Income Statement'!AB26</f>
        <v>37.146999999999998</v>
      </c>
    </row>
    <row r="60" spans="1:28" s="86" customFormat="1" ht="12.75" customHeight="1" x14ac:dyDescent="0.2">
      <c r="A60" s="101" t="s">
        <v>58</v>
      </c>
      <c r="B60" s="103">
        <f>-B20-B19+'GAAP Income Statement'!B25</f>
        <v>33.712000000000003</v>
      </c>
      <c r="D60" s="103">
        <f>-D20-D19+'GAAP Income Statement'!D25</f>
        <v>36.122</v>
      </c>
      <c r="F60" s="103">
        <f>-F20-F19+'GAAP Income Statement'!F25</f>
        <v>45.072000000000003</v>
      </c>
      <c r="H60" s="41">
        <f>-H20-H19+'GAAP Income Statement'!H25</f>
        <v>12.286</v>
      </c>
      <c r="J60" s="41">
        <f>-J20-J19+'GAAP Income Statement'!J25</f>
        <v>12.391999999999999</v>
      </c>
      <c r="L60" s="41">
        <f>-L20-L19+'GAAP Income Statement'!L25</f>
        <v>12.413</v>
      </c>
      <c r="N60" s="41">
        <f>-N20-N19+'GAAP Income Statement'!N25</f>
        <v>13.148</v>
      </c>
      <c r="P60" s="103">
        <f>-P20-P19+'GAAP Income Statement'!P25</f>
        <v>50.239000000000004</v>
      </c>
      <c r="R60" s="41">
        <f>-R20-R19+'GAAP Income Statement'!R25</f>
        <v>14.18</v>
      </c>
      <c r="S60" s="45"/>
      <c r="T60" s="41">
        <f>-T20-T19+'GAAP Income Statement'!T25</f>
        <v>13.887</v>
      </c>
      <c r="V60" s="41">
        <f>-V20-V19+'GAAP Income Statement'!V25</f>
        <v>14.062000000000001</v>
      </c>
      <c r="W60" s="85"/>
      <c r="X60" s="41">
        <f>-X20-X19+'GAAP Income Statement'!X25</f>
        <v>13.402000000000001</v>
      </c>
      <c r="Z60" s="103">
        <f>-Z20-Z19+'GAAP Income Statement'!Z25</f>
        <v>55.530999999999999</v>
      </c>
      <c r="AA60" s="106"/>
      <c r="AB60" s="41">
        <f>-AB20-AB19+'GAAP Income Statement'!AB25</f>
        <v>13.477</v>
      </c>
    </row>
    <row r="61" spans="1:28" s="86" customFormat="1" ht="12.75" customHeight="1" x14ac:dyDescent="0.2">
      <c r="A61" s="98" t="s">
        <v>107</v>
      </c>
      <c r="B61" s="23">
        <f>'Non-GAAP Income Statement'!B28</f>
        <v>206.59499999999991</v>
      </c>
      <c r="C61" s="84"/>
      <c r="D61" s="23">
        <f>'Non-GAAP Income Statement'!D28</f>
        <v>246.76900000000023</v>
      </c>
      <c r="E61" s="84"/>
      <c r="F61" s="23">
        <f>'Non-GAAP Income Statement'!F28</f>
        <v>286.26999999999987</v>
      </c>
      <c r="G61" s="84"/>
      <c r="H61" s="22">
        <f>'Non-GAAP Income Statement'!H28</f>
        <v>82.29299999999995</v>
      </c>
      <c r="I61" s="84"/>
      <c r="J61" s="22">
        <f>'Non-GAAP Income Statement'!J28</f>
        <v>80.106000000000023</v>
      </c>
      <c r="L61" s="22">
        <f>'Non-GAAP Income Statement'!L28</f>
        <v>81.371000000000009</v>
      </c>
      <c r="M61" s="84"/>
      <c r="N61" s="22">
        <f>'Non-GAAP Income Statement'!N28</f>
        <v>96.518000000000001</v>
      </c>
      <c r="O61" s="84"/>
      <c r="P61" s="23">
        <f>'Non-GAAP Income Statement'!P28</f>
        <v>340.2879999999999</v>
      </c>
      <c r="Q61" s="84"/>
      <c r="R61" s="22">
        <f>'Non-GAAP Income Statement'!R28</f>
        <v>69.812999999999988</v>
      </c>
      <c r="S61" s="84"/>
      <c r="T61" s="22">
        <f>'Non-GAAP Income Statement'!T28</f>
        <v>73.771000000000043</v>
      </c>
      <c r="V61" s="45">
        <f>'Non-GAAP Income Statement'!V28</f>
        <v>73.17900000000003</v>
      </c>
      <c r="W61" s="84"/>
      <c r="X61" s="22">
        <f>'Non-GAAP Income Statement'!X28</f>
        <v>87.563999999999965</v>
      </c>
      <c r="Y61" s="84"/>
      <c r="Z61" s="23">
        <f>'Non-GAAP Income Statement'!Z28</f>
        <v>304.32699999999988</v>
      </c>
      <c r="AA61" s="85"/>
      <c r="AB61" s="22">
        <f>'Non-GAAP Income Statement'!AB28</f>
        <v>62.093000000000018</v>
      </c>
    </row>
    <row r="62" spans="1:28" ht="12.75" customHeight="1" x14ac:dyDescent="0.2">
      <c r="A62" s="112"/>
      <c r="B62" s="113"/>
      <c r="C62" s="84"/>
      <c r="D62" s="113"/>
      <c r="E62" s="84"/>
      <c r="F62" s="113"/>
      <c r="G62" s="84"/>
      <c r="H62" s="86"/>
      <c r="I62" s="84"/>
      <c r="J62" s="86"/>
      <c r="K62" s="84"/>
      <c r="L62" s="19"/>
      <c r="M62" s="84"/>
      <c r="N62" s="86"/>
      <c r="O62" s="84"/>
      <c r="P62" s="113"/>
      <c r="Q62" s="84"/>
      <c r="R62" s="86"/>
      <c r="S62" s="86"/>
      <c r="T62" s="19"/>
      <c r="U62" s="84"/>
      <c r="V62" s="19"/>
      <c r="X62" s="86"/>
      <c r="Y62" s="84"/>
      <c r="Z62" s="113"/>
      <c r="AB62" s="86"/>
    </row>
    <row r="63" spans="1:28" s="85" customFormat="1" ht="12.75" customHeight="1" x14ac:dyDescent="0.2">
      <c r="A63" s="98" t="s">
        <v>108</v>
      </c>
      <c r="B63" s="108">
        <f>'GAAP Income Statement'!B44</f>
        <v>0.10035914165914708</v>
      </c>
      <c r="C63" s="115"/>
      <c r="D63" s="108">
        <f>'GAAP Income Statement'!D44</f>
        <v>0.1020133330253991</v>
      </c>
      <c r="E63" s="115"/>
      <c r="F63" s="108">
        <f>'GAAP Income Statement'!F44</f>
        <v>9.8430587047492246E-2</v>
      </c>
      <c r="G63" s="115"/>
      <c r="H63" s="114">
        <f>'GAAP Income Statement'!H44</f>
        <v>0.16887281680387778</v>
      </c>
      <c r="I63" s="115"/>
      <c r="J63" s="114">
        <f>'GAAP Income Statement'!J44</f>
        <v>0.15580468512321269</v>
      </c>
      <c r="K63" s="116"/>
      <c r="L63" s="114">
        <f>'GAAP Income Statement'!L44</f>
        <v>0.16155230903592629</v>
      </c>
      <c r="M63" s="115"/>
      <c r="N63" s="114">
        <f>'GAAP Income Statement'!N44</f>
        <v>9.8465263915704287E-2</v>
      </c>
      <c r="O63" s="115"/>
      <c r="P63" s="108">
        <f>'GAAP Income Statement'!P44</f>
        <v>0.14486424504059439</v>
      </c>
      <c r="Q63" s="115"/>
      <c r="R63" s="114">
        <f>'GAAP Income Statement'!R44</f>
        <v>0.11563043491620627</v>
      </c>
      <c r="S63" s="115"/>
      <c r="T63" s="114">
        <f>'GAAP Income Statement'!T44</f>
        <v>1.2695825467418487E-2</v>
      </c>
      <c r="U63" s="116"/>
      <c r="V63" s="114">
        <f>'GAAP Income Statement'!V44</f>
        <v>7.1283646692817615E-2</v>
      </c>
      <c r="W63" s="115"/>
      <c r="X63" s="114">
        <f>'GAAP Income Statement'!X44</f>
        <v>-6.913695579841822E-2</v>
      </c>
      <c r="Y63" s="115"/>
      <c r="Z63" s="108">
        <f>'GAAP Income Statement'!Z44</f>
        <v>3.3153766365370166E-2</v>
      </c>
      <c r="AB63" s="114">
        <f>'GAAP Income Statement'!AB44</f>
        <v>-4.5674307686492548E-2</v>
      </c>
    </row>
    <row r="64" spans="1:28" s="85" customFormat="1" ht="12.75" customHeight="1" x14ac:dyDescent="0.2">
      <c r="A64" s="101" t="s">
        <v>92</v>
      </c>
      <c r="B64" s="108">
        <f>+B53/'GAAP Income Statement'!B15</f>
        <v>2.2331738576407364E-3</v>
      </c>
      <c r="C64" s="115"/>
      <c r="D64" s="108">
        <f>+D53/'GAAP Income Statement'!D15</f>
        <v>1.9790089664635624E-3</v>
      </c>
      <c r="E64" s="115"/>
      <c r="F64" s="108">
        <f>+F53/'GAAP Income Statement'!F15</f>
        <v>2.3462727505351583E-3</v>
      </c>
      <c r="G64" s="115"/>
      <c r="H64" s="107">
        <f>+H53/'GAAP Income Statement'!H15</f>
        <v>0</v>
      </c>
      <c r="I64" s="115"/>
      <c r="J64" s="107">
        <f>+J53/'GAAP Income Statement'!J15</f>
        <v>0</v>
      </c>
      <c r="K64" s="116"/>
      <c r="L64" s="107">
        <f>+L53/'GAAP Income Statement'!L15</f>
        <v>0</v>
      </c>
      <c r="M64" s="115"/>
      <c r="N64" s="107">
        <f>+N53/'GAAP Income Statement'!N15</f>
        <v>2.6206136762764922E-3</v>
      </c>
      <c r="O64" s="115"/>
      <c r="P64" s="108">
        <f>+P53/'GAAP Income Statement'!P15</f>
        <v>7.0819703058364709E-4</v>
      </c>
      <c r="Q64" s="115"/>
      <c r="R64" s="107">
        <f>+R53/'GAAP Income Statement'!R15</f>
        <v>4.3141327794199887E-3</v>
      </c>
      <c r="S64" s="115"/>
      <c r="T64" s="107">
        <f>+T53/'GAAP Income Statement'!T15</f>
        <v>3.606913303556932E-3</v>
      </c>
      <c r="U64" s="116"/>
      <c r="V64" s="107">
        <f>+V53/'GAAP Income Statement'!V15</f>
        <v>2.5930923450990227E-3</v>
      </c>
      <c r="W64" s="115"/>
      <c r="X64" s="107">
        <f>+X53/'GAAP Income Statement'!X15</f>
        <v>1.7468198919915029E-3</v>
      </c>
      <c r="Y64" s="115"/>
      <c r="Z64" s="108">
        <f>+Z53/'GAAP Income Statement'!Z15</f>
        <v>3.0822741750196375E-3</v>
      </c>
      <c r="AB64" s="107">
        <f>+AB53/'GAAP Income Statement'!AB15</f>
        <v>1.7078040114495031E-3</v>
      </c>
    </row>
    <row r="65" spans="1:28" s="85" customFormat="1" ht="12.75" customHeight="1" x14ac:dyDescent="0.2">
      <c r="A65" s="101" t="s">
        <v>93</v>
      </c>
      <c r="B65" s="108">
        <f>+B54/'GAAP Income Statement'!B15</f>
        <v>3.8906584606525213E-2</v>
      </c>
      <c r="C65" s="115"/>
      <c r="D65" s="108">
        <f>+D54/'GAAP Income Statement'!D15</f>
        <v>4.0858372243224597E-2</v>
      </c>
      <c r="E65" s="115"/>
      <c r="F65" s="108">
        <f>+F54/'GAAP Income Statement'!F15</f>
        <v>3.7715851295011128E-2</v>
      </c>
      <c r="G65" s="115"/>
      <c r="H65" s="107">
        <f>+H54/'GAAP Income Statement'!H15</f>
        <v>3.9282911441101749E-2</v>
      </c>
      <c r="I65" s="115"/>
      <c r="J65" s="107">
        <f>+J54/'GAAP Income Statement'!J15</f>
        <v>3.8229388500152055E-2</v>
      </c>
      <c r="K65" s="116"/>
      <c r="L65" s="107">
        <f>+L54/'GAAP Income Statement'!L15</f>
        <v>3.7227374537331374E-2</v>
      </c>
      <c r="M65" s="115"/>
      <c r="N65" s="107">
        <f>+N54/'GAAP Income Statement'!N15</f>
        <v>3.5246026811523036E-2</v>
      </c>
      <c r="O65" s="115"/>
      <c r="P65" s="108">
        <f>+P54/'GAAP Income Statement'!P15</f>
        <v>3.7426849731791514E-2</v>
      </c>
      <c r="Q65" s="115"/>
      <c r="R65" s="107">
        <f>+R54/'GAAP Income Statement'!R15</f>
        <v>3.4543789676808739E-2</v>
      </c>
      <c r="S65" s="115"/>
      <c r="T65" s="107">
        <f>+T54/'GAAP Income Statement'!T15</f>
        <v>4.0818925311744927E-2</v>
      </c>
      <c r="U65" s="116"/>
      <c r="V65" s="107">
        <f>+V54/'GAAP Income Statement'!V15</f>
        <v>4.6421631536753598E-2</v>
      </c>
      <c r="W65" s="115"/>
      <c r="X65" s="107">
        <f>+X54/'GAAP Income Statement'!X15</f>
        <v>3.854201325791505E-2</v>
      </c>
      <c r="Y65" s="115"/>
      <c r="Z65" s="108">
        <f>+Z54/'GAAP Income Statement'!Z15</f>
        <v>3.9977948475274055E-2</v>
      </c>
      <c r="AB65" s="107">
        <f>+AB54/'GAAP Income Statement'!AB15</f>
        <v>7.9682630224351125E-2</v>
      </c>
    </row>
    <row r="66" spans="1:28" s="85" customFormat="1" ht="12.75" customHeight="1" x14ac:dyDescent="0.2">
      <c r="A66" s="101" t="s">
        <v>88</v>
      </c>
      <c r="B66" s="108">
        <f>+B55/'GAAP Income Statement'!B15</f>
        <v>0</v>
      </c>
      <c r="C66" s="115"/>
      <c r="D66" s="108">
        <f>+D55/'GAAP Income Statement'!D15</f>
        <v>0</v>
      </c>
      <c r="E66" s="115"/>
      <c r="F66" s="108">
        <f>+F55/'GAAP Income Statement'!F15</f>
        <v>0</v>
      </c>
      <c r="G66" s="115"/>
      <c r="H66" s="107">
        <f>+H55/'GAAP Income Statement'!H15</f>
        <v>0</v>
      </c>
      <c r="I66" s="115"/>
      <c r="J66" s="107">
        <f>+J55/'GAAP Income Statement'!J15</f>
        <v>0</v>
      </c>
      <c r="K66" s="116"/>
      <c r="L66" s="107">
        <f>+L55/'GAAP Income Statement'!L15</f>
        <v>0</v>
      </c>
      <c r="M66" s="115"/>
      <c r="N66" s="107">
        <f>+N55/'GAAP Income Statement'!N15</f>
        <v>-1.7725274605408117E-4</v>
      </c>
      <c r="O66" s="115"/>
      <c r="P66" s="108">
        <f>+P55/'GAAP Income Statement'!P15</f>
        <v>-4.7900943795980298E-5</v>
      </c>
      <c r="Q66" s="115"/>
      <c r="R66" s="107">
        <f>+R55/'GAAP Income Statement'!R15</f>
        <v>-3.2571087935791938E-4</v>
      </c>
      <c r="S66" s="115"/>
      <c r="T66" s="107">
        <f>+T55/'GAAP Income Statement'!T15</f>
        <v>-4.8070954001508978E-4</v>
      </c>
      <c r="U66" s="116"/>
      <c r="V66" s="107">
        <f>+V55/'GAAP Income Statement'!V15</f>
        <v>-4.4537845621929776E-4</v>
      </c>
      <c r="W66" s="115"/>
      <c r="X66" s="107">
        <f>+X55/'GAAP Income Statement'!X15</f>
        <v>-4.2870671341916006E-4</v>
      </c>
      <c r="Y66" s="115"/>
      <c r="Z66" s="108">
        <f>+Z55/'GAAP Income Statement'!Z15</f>
        <v>-4.1904270252270077E-4</v>
      </c>
      <c r="AB66" s="107">
        <f>+AB55/'GAAP Income Statement'!AB15</f>
        <v>-4.5358174951978754E-4</v>
      </c>
    </row>
    <row r="67" spans="1:28" s="86" customFormat="1" ht="12.75" customHeight="1" x14ac:dyDescent="0.2">
      <c r="A67" s="101" t="s">
        <v>102</v>
      </c>
      <c r="B67" s="108">
        <f>+B56/'GAAP Income Statement'!B15</f>
        <v>6.6506762506330606E-3</v>
      </c>
      <c r="D67" s="108">
        <f>+D56/'GAAP Income Statement'!D15</f>
        <v>3.052531737808787E-3</v>
      </c>
      <c r="F67" s="108">
        <f>+F56/'GAAP Income Statement'!F15</f>
        <v>7.6186220614576569E-3</v>
      </c>
      <c r="H67" s="107">
        <f>+H56/'GAAP Income Statement'!H15</f>
        <v>4.0163114564899594E-3</v>
      </c>
      <c r="J67" s="107">
        <f>+J56/'GAAP Income Statement'!J15</f>
        <v>1.1971402494675995E-2</v>
      </c>
      <c r="L67" s="107">
        <f>+L56/'GAAP Income Statement'!L15</f>
        <v>4.5390542844751273E-3</v>
      </c>
      <c r="N67" s="107">
        <f>+N56/'GAAP Income Statement'!N15</f>
        <v>1.7256236569695778E-2</v>
      </c>
      <c r="P67" s="108">
        <f>+P56/'GAAP Income Statement'!P15</f>
        <v>9.6509347684947382E-3</v>
      </c>
      <c r="R67" s="107">
        <f>+R56/'GAAP Income Statement'!R15</f>
        <v>1.2392377136325367E-2</v>
      </c>
      <c r="T67" s="107">
        <f>+T56/'GAAP Income Statement'!T15</f>
        <v>6.0231950311824493E-3</v>
      </c>
      <c r="V67" s="107">
        <f>+V56/'GAAP Income Statement'!V15</f>
        <v>9.1648988990904387E-3</v>
      </c>
      <c r="X67" s="107">
        <f>+X56/'GAAP Income Statement'!X15</f>
        <v>6.7185380461211644E-4</v>
      </c>
      <c r="Z67" s="108">
        <f>+Z56/'GAAP Income Statement'!Z15</f>
        <v>7.1006228281080466E-3</v>
      </c>
      <c r="AB67" s="107">
        <f>+AB56/'GAAP Income Statement'!AB15</f>
        <v>4.147524027805936E-3</v>
      </c>
    </row>
    <row r="68" spans="1:28" s="86" customFormat="1" ht="12.75" customHeight="1" x14ac:dyDescent="0.2">
      <c r="A68" s="101" t="s">
        <v>103</v>
      </c>
      <c r="B68" s="108">
        <f>+B57/'GAAP Income Statement'!B15</f>
        <v>0</v>
      </c>
      <c r="D68" s="108">
        <f>+D57/'GAAP Income Statement'!D15</f>
        <v>0</v>
      </c>
      <c r="F68" s="108">
        <f>+F57/'GAAP Income Statement'!F15</f>
        <v>0</v>
      </c>
      <c r="H68" s="107">
        <f>+H57/'GAAP Income Statement'!H15</f>
        <v>0</v>
      </c>
      <c r="J68" s="107">
        <f>+J57/'GAAP Income Statement'!J15</f>
        <v>0</v>
      </c>
      <c r="L68" s="107">
        <f>+L57/'GAAP Income Statement'!L15</f>
        <v>0</v>
      </c>
      <c r="N68" s="107">
        <f>+N57/'GAAP Income Statement'!N15</f>
        <v>0</v>
      </c>
      <c r="P68" s="108">
        <f>+P57/'GAAP Income Statement'!P15</f>
        <v>0</v>
      </c>
      <c r="R68" s="107">
        <f>+R57/'GAAP Income Statement'!R15</f>
        <v>5.1745011399880773E-3</v>
      </c>
      <c r="T68" s="107">
        <f>+T57/'GAAP Income Statement'!T15</f>
        <v>5.4533472983168798E-3</v>
      </c>
      <c r="V68" s="107">
        <f>+V57/'GAAP Income Statement'!V15</f>
        <v>6.5817038530185112E-3</v>
      </c>
      <c r="X68" s="107">
        <f>+X57/'GAAP Income Statement'!X15</f>
        <v>0.2168456143943078</v>
      </c>
      <c r="Z68" s="108">
        <f>+Z57/'GAAP Income Statement'!Z15</f>
        <v>5.8292345221080857E-2</v>
      </c>
      <c r="AB68" s="107">
        <f>+AB57/'GAAP Income Statement'!AB15</f>
        <v>0</v>
      </c>
    </row>
    <row r="69" spans="1:28" s="86" customFormat="1" ht="12.75" customHeight="1" x14ac:dyDescent="0.2">
      <c r="A69" s="101" t="s">
        <v>104</v>
      </c>
      <c r="B69" s="108">
        <f>+B58/'GAAP Income Statement'!B15</f>
        <v>0</v>
      </c>
      <c r="D69" s="108">
        <f>+D58/'GAAP Income Statement'!D15</f>
        <v>0</v>
      </c>
      <c r="F69" s="108">
        <f>+F58/'GAAP Income Statement'!F15</f>
        <v>0</v>
      </c>
      <c r="H69" s="107">
        <f>+H58/'GAAP Income Statement'!H15</f>
        <v>0</v>
      </c>
      <c r="J69" s="107">
        <f>+J58/'GAAP Income Statement'!J15</f>
        <v>0</v>
      </c>
      <c r="L69" s="107">
        <f>+L58/'GAAP Income Statement'!L15</f>
        <v>0</v>
      </c>
      <c r="N69" s="107">
        <f>+N58/'GAAP Income Statement'!N15</f>
        <v>0</v>
      </c>
      <c r="P69" s="108">
        <f>+P58/'GAAP Income Statement'!P15</f>
        <v>0</v>
      </c>
      <c r="R69" s="107">
        <f>+R58/'GAAP Income Statement'!R15</f>
        <v>0</v>
      </c>
      <c r="T69" s="107">
        <f>+T58/'GAAP Income Statement'!T15</f>
        <v>0</v>
      </c>
      <c r="V69" s="107">
        <f>+V58/'GAAP Income Statement'!V15</f>
        <v>4.494033578236499E-2</v>
      </c>
      <c r="X69" s="107">
        <f>+X58/'GAAP Income Statement'!X15</f>
        <v>4.6517877709810342E-2</v>
      </c>
      <c r="Z69" s="108">
        <f>+Z58/'GAAP Income Statement'!Z15</f>
        <v>2.2435514426700186E-2</v>
      </c>
      <c r="AB69" s="107">
        <f>+AB58/'GAAP Income Statement'!AB15</f>
        <v>0</v>
      </c>
    </row>
    <row r="70" spans="1:28" s="85" customFormat="1" ht="12.75" customHeight="1" x14ac:dyDescent="0.2">
      <c r="A70" s="111" t="s">
        <v>59</v>
      </c>
      <c r="B70" s="108">
        <f>+B59/'GAAP Income Statement'!B15</f>
        <v>0</v>
      </c>
      <c r="C70" s="86"/>
      <c r="D70" s="108">
        <f>+D59/'GAAP Income Statement'!D15</f>
        <v>1.9852207451108123E-2</v>
      </c>
      <c r="E70" s="86"/>
      <c r="F70" s="108">
        <f>+F59/'GAAP Income Statement'!F15</f>
        <v>4.0352025950472374E-2</v>
      </c>
      <c r="G70" s="86"/>
      <c r="H70" s="107">
        <f>+H59/'GAAP Income Statement'!H15</f>
        <v>3.2838347310917906E-3</v>
      </c>
      <c r="I70" s="86"/>
      <c r="J70" s="107">
        <f>+J59/'GAAP Income Statement'!J15</f>
        <v>0</v>
      </c>
      <c r="K70" s="86"/>
      <c r="L70" s="107">
        <f>+L59/'GAAP Income Statement'!L15</f>
        <v>1.5268808260603503E-3</v>
      </c>
      <c r="M70" s="86"/>
      <c r="N70" s="107">
        <f>+N59/'GAAP Income Statement'!N15</f>
        <v>7.3150844813857335E-2</v>
      </c>
      <c r="O70" s="86"/>
      <c r="P70" s="108">
        <f>+P59/'GAAP Income Statement'!P15</f>
        <v>2.093344937644025E-2</v>
      </c>
      <c r="Q70" s="86"/>
      <c r="R70" s="107">
        <f>+R59/'GAAP Income Statement'!R15</f>
        <v>-7.8354975694593814E-4</v>
      </c>
      <c r="S70" s="86"/>
      <c r="T70" s="107">
        <f>+T59/'GAAP Income Statement'!T15</f>
        <v>0.12252362957987259</v>
      </c>
      <c r="U70" s="86"/>
      <c r="V70" s="107">
        <f>+V59/'GAAP Income Statement'!V15</f>
        <v>1.4492944875343519E-2</v>
      </c>
      <c r="W70" s="86"/>
      <c r="X70" s="107">
        <f>+X59/'GAAP Income Statement'!X15</f>
        <v>2.5082542038852348E-3</v>
      </c>
      <c r="Y70" s="86"/>
      <c r="Z70" s="108">
        <f>+Z59/'GAAP Income Statement'!Z15</f>
        <v>3.4582176185946611E-2</v>
      </c>
      <c r="AB70" s="107">
        <f>+AB59/'GAAP Income Statement'!AB15</f>
        <v>0.12764546401069354</v>
      </c>
    </row>
    <row r="71" spans="1:28" s="86" customFormat="1" ht="12.75" customHeight="1" x14ac:dyDescent="0.2">
      <c r="A71" s="101" t="s">
        <v>58</v>
      </c>
      <c r="B71" s="110">
        <f>+B60/'GAAP Income Statement'!B15</f>
        <v>2.8889008859855916E-2</v>
      </c>
      <c r="D71" s="110">
        <f>+D60/'GAAP Income Statement'!D15</f>
        <v>2.8766906191789461E-2</v>
      </c>
      <c r="F71" s="110">
        <f>+F60/'GAAP Income Statement'!F15</f>
        <v>3.4843889756876661E-2</v>
      </c>
      <c r="H71" s="109">
        <f>+H60/'GAAP Income Statement'!H15</f>
        <v>3.7811802723705476E-2</v>
      </c>
      <c r="J71" s="109">
        <f>+J60/'GAAP Income Statement'!J15</f>
        <v>3.7700030422877999E-2</v>
      </c>
      <c r="L71" s="109">
        <f>+L60/'GAAP Income Statement'!L15</f>
        <v>3.6873874890830993E-2</v>
      </c>
      <c r="N71" s="109">
        <f>+N60/'GAAP Income Statement'!N15</f>
        <v>3.5854140078754752E-2</v>
      </c>
      <c r="P71" s="110">
        <f>+P60/'GAAP Income Statement'!P15</f>
        <v>3.7023007928711604E-2</v>
      </c>
      <c r="R71" s="109">
        <f>+R60/'GAAP Income Statement'!R15</f>
        <v>4.3571511974483931E-2</v>
      </c>
      <c r="T71" s="109">
        <f>+T60/'GAAP Income Statement'!T15</f>
        <v>4.4209360146950677E-2</v>
      </c>
      <c r="V71" s="109">
        <f>+V60/'GAAP Income Statement'!V15</f>
        <v>4.6391939639672336E-2</v>
      </c>
      <c r="X71" s="109">
        <f>+X60/'GAAP Income Statement'!X15</f>
        <v>4.2877069949578975E-2</v>
      </c>
      <c r="Z71" s="110">
        <f>+Z60/'GAAP Income Statement'!Z15</f>
        <v>4.4239278163095239E-2</v>
      </c>
      <c r="AB71" s="109">
        <f>+AB60/'GAAP Income Statement'!AB15</f>
        <v>4.6310009380895273E-2</v>
      </c>
    </row>
    <row r="72" spans="1:28" s="86" customFormat="1" ht="12.75" customHeight="1" x14ac:dyDescent="0.2">
      <c r="A72" s="98" t="s">
        <v>109</v>
      </c>
      <c r="B72" s="108">
        <f>'Non-GAAP Income Statement'!B44</f>
        <v>0.17664410822919821</v>
      </c>
      <c r="D72" s="108">
        <f>'Non-GAAP Income Statement'!D44</f>
        <v>0.19613420825901884</v>
      </c>
      <c r="F72" s="108">
        <f>'Non-GAAP Income Statement'!F44</f>
        <v>0.22078921713806199</v>
      </c>
      <c r="H72" s="107">
        <f>'Non-GAAP Income Statement'!H44</f>
        <v>0.25326767715626669</v>
      </c>
      <c r="J72" s="107">
        <f>'Non-GAAP Income Statement'!J44</f>
        <v>0.2437055065409188</v>
      </c>
      <c r="L72" s="107">
        <f>'Non-GAAP Income Statement'!L44</f>
        <v>0.24171949357462408</v>
      </c>
      <c r="N72" s="107">
        <f>'Non-GAAP Income Statement'!N44</f>
        <v>0.26230782401204489</v>
      </c>
      <c r="P72" s="108">
        <f>'Non-GAAP Income Statement'!P44</f>
        <v>0.25054041477938704</v>
      </c>
      <c r="R72" s="107">
        <f>'Non-GAAP Income Statement'!R44</f>
        <v>0.21359600545822799</v>
      </c>
      <c r="T72" s="107">
        <f>'Non-GAAP Income Statement'!T44</f>
        <v>0.23400644563714121</v>
      </c>
      <c r="V72" s="107">
        <f>'Non-GAAP Income Statement'!V44</f>
        <v>0.24080039750048546</v>
      </c>
      <c r="X72" s="107">
        <f>'Non-GAAP Income Statement'!X44</f>
        <v>0.27965533320132596</v>
      </c>
      <c r="Z72" s="108">
        <f>'Non-GAAP Income Statement'!Z44</f>
        <v>0.24169989778502446</v>
      </c>
      <c r="AB72" s="107">
        <f>'Non-GAAP Income Statement'!AB44</f>
        <v>0.21300177693009603</v>
      </c>
    </row>
    <row r="73" spans="1:28" s="86" customFormat="1" ht="12.75" customHeight="1" x14ac:dyDescent="0.2">
      <c r="A73" s="98"/>
      <c r="B73" s="118"/>
      <c r="D73" s="118"/>
      <c r="F73" s="118"/>
      <c r="H73" s="45"/>
      <c r="J73" s="45"/>
      <c r="L73" s="45"/>
      <c r="N73" s="45"/>
      <c r="P73" s="118"/>
      <c r="R73" s="45"/>
      <c r="T73" s="45"/>
      <c r="V73" s="45"/>
      <c r="X73" s="45"/>
      <c r="Z73" s="118"/>
      <c r="AB73" s="45"/>
    </row>
    <row r="74" spans="1:28" s="86" customFormat="1" ht="12.75" customHeight="1" x14ac:dyDescent="0.2">
      <c r="A74" s="98" t="s">
        <v>110</v>
      </c>
      <c r="B74" s="100">
        <f>'GAAP Income Statement'!B32</f>
        <v>85.424000000000035</v>
      </c>
      <c r="D74" s="100">
        <f>'GAAP Income Statement'!D32</f>
        <v>-35.397999999999897</v>
      </c>
      <c r="F74" s="100">
        <f>'GAAP Income Statement'!F32</f>
        <v>143.76900000000018</v>
      </c>
      <c r="H74" s="99">
        <f>'GAAP Income Statement'!H32</f>
        <v>39.656999999999982</v>
      </c>
      <c r="J74" s="99">
        <f>'GAAP Income Statement'!J32</f>
        <v>43.756000000000022</v>
      </c>
      <c r="L74" s="99">
        <f>'GAAP Income Statement'!L32</f>
        <v>38.026000000000018</v>
      </c>
      <c r="N74" s="99">
        <f>'GAAP Income Statement'!N32</f>
        <v>38.755000000000088</v>
      </c>
      <c r="P74" s="100">
        <f>'GAAP Income Statement'!P32</f>
        <v>160.19400000000024</v>
      </c>
      <c r="R74" s="99">
        <f>'GAAP Income Statement'!R32</f>
        <v>30.283999999999995</v>
      </c>
      <c r="T74" s="99">
        <f>'GAAP Income Statement'!T32</f>
        <v>5.3920000000000279</v>
      </c>
      <c r="V74" s="99">
        <f>'GAAP Income Statement'!V32</f>
        <v>17.435000000000027</v>
      </c>
      <c r="X74" s="99">
        <f>'GAAP Income Statement'!X32</f>
        <v>-5.5529999999999831</v>
      </c>
      <c r="Z74" s="100">
        <f>'GAAP Income Statement'!Z32</f>
        <v>47.556999999999988</v>
      </c>
      <c r="AA74" s="85"/>
      <c r="AB74" s="99">
        <f>'GAAP Income Statement'!AB32</f>
        <v>-23.892000000000003</v>
      </c>
    </row>
    <row r="75" spans="1:28" s="86" customFormat="1" ht="12.75" customHeight="1" x14ac:dyDescent="0.2">
      <c r="A75" s="101" t="s">
        <v>92</v>
      </c>
      <c r="B75" s="102">
        <f>+B53</f>
        <v>2.6059999999999999</v>
      </c>
      <c r="D75" s="102">
        <f>+D53</f>
        <v>2.4849999999999999</v>
      </c>
      <c r="F75" s="102">
        <f>+F53</f>
        <v>3.0349999999999997</v>
      </c>
      <c r="H75" s="57">
        <f>+H53</f>
        <v>0</v>
      </c>
      <c r="J75" s="57">
        <f>+J53</f>
        <v>0</v>
      </c>
      <c r="L75" s="45">
        <f>+L53</f>
        <v>0</v>
      </c>
      <c r="N75" s="57">
        <f>+N53</f>
        <v>0.96099999999999997</v>
      </c>
      <c r="P75" s="102">
        <f t="shared" ref="P75:P84" si="40">SUM(H75,J75,L75,N75)</f>
        <v>0.96099999999999997</v>
      </c>
      <c r="R75" s="57">
        <f>+R53</f>
        <v>1.4039999999999999</v>
      </c>
      <c r="S75" s="57"/>
      <c r="T75" s="45">
        <f>+T53</f>
        <v>1.133</v>
      </c>
      <c r="V75" s="45">
        <f>+V53</f>
        <v>0.78600000000000003</v>
      </c>
      <c r="W75" s="85"/>
      <c r="X75" s="57">
        <f>+X53</f>
        <v>0.54600000000000004</v>
      </c>
      <c r="Z75" s="102">
        <f t="shared" ref="Z75:Z83" si="41">SUM(R75,T75,V75,X75)</f>
        <v>3.8689999999999998</v>
      </c>
      <c r="AA75" s="106"/>
      <c r="AB75" s="57">
        <f>+AB53</f>
        <v>0.497</v>
      </c>
    </row>
    <row r="76" spans="1:28" s="86" customFormat="1" ht="12.75" customHeight="1" x14ac:dyDescent="0.2">
      <c r="A76" s="101" t="s">
        <v>93</v>
      </c>
      <c r="B76" s="102">
        <f>+B54</f>
        <v>45.401999999999994</v>
      </c>
      <c r="D76" s="102">
        <f>+D54</f>
        <v>51.305000000000021</v>
      </c>
      <c r="F76" s="102">
        <f>+F54</f>
        <v>48.786999999999999</v>
      </c>
      <c r="H76" s="57">
        <f>+H54</f>
        <v>12.763999999999985</v>
      </c>
      <c r="J76" s="57">
        <f>+J54</f>
        <v>12.565999999999981</v>
      </c>
      <c r="L76" s="45">
        <f>+L54</f>
        <v>12.532000000000011</v>
      </c>
      <c r="N76" s="57">
        <f>+N54</f>
        <v>12.92499999999999</v>
      </c>
      <c r="P76" s="102">
        <f t="shared" si="40"/>
        <v>50.786999999999971</v>
      </c>
      <c r="R76" s="57">
        <f>+R54</f>
        <v>11.24199999999999</v>
      </c>
      <c r="S76" s="57"/>
      <c r="T76" s="45">
        <f>+T54</f>
        <v>12.822000000000006</v>
      </c>
      <c r="V76" s="45">
        <f>+V54</f>
        <v>14.070999999999993</v>
      </c>
      <c r="W76" s="85"/>
      <c r="X76" s="57">
        <f>+X54</f>
        <v>12.04699999999999</v>
      </c>
      <c r="Z76" s="102">
        <f t="shared" si="41"/>
        <v>50.181999999999981</v>
      </c>
      <c r="AA76" s="106"/>
      <c r="AB76" s="57">
        <f>+AB54</f>
        <v>23.188999999999993</v>
      </c>
    </row>
    <row r="77" spans="1:28" s="86" customFormat="1" ht="12.75" customHeight="1" x14ac:dyDescent="0.2">
      <c r="A77" s="101" t="s">
        <v>88</v>
      </c>
      <c r="B77" s="102">
        <f>+B55</f>
        <v>0</v>
      </c>
      <c r="D77" s="102">
        <f>+D55</f>
        <v>0</v>
      </c>
      <c r="F77" s="102">
        <f>+F55</f>
        <v>0</v>
      </c>
      <c r="H77" s="57">
        <f>+H55</f>
        <v>0</v>
      </c>
      <c r="J77" s="57">
        <f>+J55</f>
        <v>0</v>
      </c>
      <c r="L77" s="45">
        <f>+L55</f>
        <v>0</v>
      </c>
      <c r="N77" s="57">
        <f>+N55</f>
        <v>-6.5000000000000002E-2</v>
      </c>
      <c r="P77" s="102">
        <f t="shared" si="40"/>
        <v>-6.5000000000000002E-2</v>
      </c>
      <c r="R77" s="57">
        <f>+R55</f>
        <v>-0.106</v>
      </c>
      <c r="S77" s="57"/>
      <c r="T77" s="45">
        <f>+T55</f>
        <v>-0.151</v>
      </c>
      <c r="V77" s="45">
        <f>+V55</f>
        <v>-0.13500000000000001</v>
      </c>
      <c r="W77" s="85"/>
      <c r="X77" s="57">
        <f>+X55</f>
        <v>-0.13400000000000001</v>
      </c>
      <c r="Z77" s="102">
        <f t="shared" si="41"/>
        <v>-0.52600000000000002</v>
      </c>
      <c r="AA77" s="106"/>
      <c r="AB77" s="57">
        <f>+AB55</f>
        <v>-0.13200000000000001</v>
      </c>
    </row>
    <row r="78" spans="1:28" s="86" customFormat="1" ht="12.75" customHeight="1" x14ac:dyDescent="0.2">
      <c r="A78" s="101" t="s">
        <v>102</v>
      </c>
      <c r="B78" s="102">
        <f>+B56</f>
        <v>7.7610000000000001</v>
      </c>
      <c r="D78" s="102">
        <f>+D56</f>
        <v>3.8330000000000002</v>
      </c>
      <c r="F78" s="102">
        <f>+F56</f>
        <v>9.8550000000000004</v>
      </c>
      <c r="H78" s="57">
        <f>+H56</f>
        <v>1.3049999999999999</v>
      </c>
      <c r="J78" s="57">
        <f>+J56</f>
        <v>3.9350000000000001</v>
      </c>
      <c r="L78" s="45">
        <f>+L56</f>
        <v>1.528</v>
      </c>
      <c r="N78" s="57">
        <f>+N56</f>
        <v>6.3280000000000003</v>
      </c>
      <c r="P78" s="102">
        <f t="shared" si="40"/>
        <v>13.096</v>
      </c>
      <c r="R78" s="57">
        <f>+R56</f>
        <v>4.0330000000000004</v>
      </c>
      <c r="S78" s="57"/>
      <c r="T78" s="45">
        <f>+T56</f>
        <v>1.8919999999999999</v>
      </c>
      <c r="V78" s="45">
        <f>+V56</f>
        <v>2.778</v>
      </c>
      <c r="W78" s="85"/>
      <c r="X78" s="57">
        <f>+X56</f>
        <v>0.21</v>
      </c>
      <c r="Z78" s="102">
        <f t="shared" si="41"/>
        <v>8.913000000000002</v>
      </c>
      <c r="AA78" s="106"/>
      <c r="AB78" s="57">
        <f>+AB56</f>
        <v>1.2070000000000001</v>
      </c>
    </row>
    <row r="79" spans="1:28" s="86" customFormat="1" ht="12.75" customHeight="1" x14ac:dyDescent="0.2">
      <c r="A79" s="101" t="s">
        <v>103</v>
      </c>
      <c r="B79" s="102">
        <f t="shared" ref="B79" si="42">+B57</f>
        <v>0</v>
      </c>
      <c r="D79" s="102">
        <f t="shared" ref="D79" si="43">+D57</f>
        <v>0</v>
      </c>
      <c r="F79" s="102">
        <f t="shared" ref="F79:H81" si="44">+F57</f>
        <v>0</v>
      </c>
      <c r="H79" s="57">
        <f t="shared" si="44"/>
        <v>0</v>
      </c>
      <c r="J79" s="57">
        <f t="shared" ref="J79:J81" si="45">+J57</f>
        <v>0</v>
      </c>
      <c r="L79" s="45">
        <f t="shared" ref="L79:L81" si="46">+L57</f>
        <v>0</v>
      </c>
      <c r="N79" s="57">
        <f t="shared" ref="N79:N81" si="47">+N57</f>
        <v>0</v>
      </c>
      <c r="P79" s="102">
        <f t="shared" si="40"/>
        <v>0</v>
      </c>
      <c r="R79" s="57">
        <f t="shared" ref="R79:R82" si="48">+R57</f>
        <v>1.6839999999999999</v>
      </c>
      <c r="S79" s="57"/>
      <c r="T79" s="45">
        <f t="shared" ref="T79:T82" si="49">+T57</f>
        <v>1.7130000000000001</v>
      </c>
      <c r="V79" s="45">
        <f t="shared" ref="V79:V82" si="50">+V57</f>
        <v>1.9950000000000001</v>
      </c>
      <c r="W79" s="85"/>
      <c r="X79" s="57">
        <f t="shared" ref="X79:X81" si="51">+X57</f>
        <v>67.778999999999996</v>
      </c>
      <c r="Z79" s="102">
        <f t="shared" si="41"/>
        <v>73.170999999999992</v>
      </c>
      <c r="AA79" s="106"/>
      <c r="AB79" s="57">
        <f t="shared" ref="AB79:AB82" si="52">+AB57</f>
        <v>0</v>
      </c>
    </row>
    <row r="80" spans="1:28" s="86" customFormat="1" ht="12.75" customHeight="1" x14ac:dyDescent="0.2">
      <c r="A80" s="101" t="s">
        <v>104</v>
      </c>
      <c r="B80" s="102">
        <f t="shared" ref="B80" si="53">+B58</f>
        <v>0</v>
      </c>
      <c r="D80" s="102">
        <f t="shared" ref="D80" si="54">+D58</f>
        <v>0</v>
      </c>
      <c r="F80" s="102">
        <f t="shared" si="44"/>
        <v>0</v>
      </c>
      <c r="H80" s="57">
        <f t="shared" si="44"/>
        <v>0</v>
      </c>
      <c r="J80" s="57">
        <f t="shared" si="45"/>
        <v>0</v>
      </c>
      <c r="L80" s="45">
        <f t="shared" si="46"/>
        <v>0</v>
      </c>
      <c r="N80" s="57">
        <f t="shared" si="47"/>
        <v>0</v>
      </c>
      <c r="P80" s="102">
        <f t="shared" si="40"/>
        <v>0</v>
      </c>
      <c r="R80" s="57">
        <f t="shared" si="48"/>
        <v>0</v>
      </c>
      <c r="S80" s="57"/>
      <c r="T80" s="45">
        <f t="shared" si="49"/>
        <v>0</v>
      </c>
      <c r="V80" s="45">
        <f t="shared" si="50"/>
        <v>13.622</v>
      </c>
      <c r="W80" s="85"/>
      <c r="X80" s="57">
        <f t="shared" si="51"/>
        <v>14.54</v>
      </c>
      <c r="Z80" s="102">
        <f t="shared" si="41"/>
        <v>28.161999999999999</v>
      </c>
      <c r="AA80" s="106"/>
      <c r="AB80" s="57">
        <f t="shared" si="52"/>
        <v>0</v>
      </c>
    </row>
    <row r="81" spans="1:28" s="85" customFormat="1" ht="12.75" customHeight="1" x14ac:dyDescent="0.2">
      <c r="A81" s="111" t="s">
        <v>59</v>
      </c>
      <c r="B81" s="102">
        <f t="shared" ref="B81" si="55">+B59</f>
        <v>0</v>
      </c>
      <c r="C81" s="86"/>
      <c r="D81" s="102">
        <f t="shared" ref="D81" si="56">+D59</f>
        <v>24.928000000000001</v>
      </c>
      <c r="E81" s="86"/>
      <c r="F81" s="102">
        <f t="shared" si="44"/>
        <v>52.196999999999996</v>
      </c>
      <c r="G81" s="86"/>
      <c r="H81" s="57">
        <f t="shared" si="44"/>
        <v>1.0669999999999999</v>
      </c>
      <c r="I81" s="86"/>
      <c r="J81" s="57">
        <f t="shared" si="45"/>
        <v>0</v>
      </c>
      <c r="K81" s="86"/>
      <c r="L81" s="45">
        <f t="shared" si="46"/>
        <v>0.51400000000000001</v>
      </c>
      <c r="M81" s="86"/>
      <c r="N81" s="57">
        <f t="shared" si="47"/>
        <v>26.824999999999999</v>
      </c>
      <c r="O81" s="86"/>
      <c r="P81" s="102">
        <f t="shared" si="40"/>
        <v>28.405999999999999</v>
      </c>
      <c r="Q81" s="86"/>
      <c r="R81" s="57">
        <f t="shared" si="48"/>
        <v>-0.255</v>
      </c>
      <c r="S81" s="57"/>
      <c r="T81" s="45">
        <f t="shared" si="49"/>
        <v>38.487000000000002</v>
      </c>
      <c r="U81" s="86"/>
      <c r="V81" s="45">
        <f t="shared" si="50"/>
        <v>4.3929999999999998</v>
      </c>
      <c r="X81" s="57">
        <f t="shared" si="51"/>
        <v>0.78400000000000003</v>
      </c>
      <c r="Y81" s="86"/>
      <c r="Z81" s="102">
        <f t="shared" si="41"/>
        <v>43.408999999999999</v>
      </c>
      <c r="AA81" s="106"/>
      <c r="AB81" s="57">
        <f t="shared" si="52"/>
        <v>37.146999999999998</v>
      </c>
    </row>
    <row r="82" spans="1:28" s="85" customFormat="1" ht="12.75" customHeight="1" x14ac:dyDescent="0.2">
      <c r="A82" s="101" t="s">
        <v>111</v>
      </c>
      <c r="B82" s="102">
        <f>+B60</f>
        <v>33.712000000000003</v>
      </c>
      <c r="C82" s="86"/>
      <c r="D82" s="102">
        <f>+D60</f>
        <v>36.122</v>
      </c>
      <c r="E82" s="86"/>
      <c r="F82" s="102">
        <f>+F60</f>
        <v>45.072000000000003</v>
      </c>
      <c r="G82" s="86"/>
      <c r="H82" s="57">
        <f>+H60</f>
        <v>12.286</v>
      </c>
      <c r="I82" s="86"/>
      <c r="J82" s="57">
        <f>+J60</f>
        <v>12.391999999999999</v>
      </c>
      <c r="K82" s="86"/>
      <c r="L82" s="45">
        <f>+L60</f>
        <v>12.413</v>
      </c>
      <c r="M82" s="86"/>
      <c r="N82" s="57">
        <f>+N60</f>
        <v>13.148</v>
      </c>
      <c r="O82" s="86"/>
      <c r="P82" s="102">
        <f t="shared" si="40"/>
        <v>50.23899999999999</v>
      </c>
      <c r="Q82" s="86"/>
      <c r="R82" s="57">
        <f t="shared" si="48"/>
        <v>14.18</v>
      </c>
      <c r="S82" s="57"/>
      <c r="T82" s="45">
        <f t="shared" si="49"/>
        <v>13.887</v>
      </c>
      <c r="U82" s="86"/>
      <c r="V82" s="45">
        <f t="shared" si="50"/>
        <v>14.062000000000001</v>
      </c>
      <c r="X82" s="57">
        <f>+X60</f>
        <v>13.402000000000001</v>
      </c>
      <c r="Y82" s="86"/>
      <c r="Z82" s="102">
        <f t="shared" si="41"/>
        <v>55.531000000000006</v>
      </c>
      <c r="AA82" s="106"/>
      <c r="AB82" s="57">
        <f t="shared" si="52"/>
        <v>13.477</v>
      </c>
    </row>
    <row r="83" spans="1:28" s="85" customFormat="1" ht="12.75" customHeight="1" x14ac:dyDescent="0.2">
      <c r="A83" s="101" t="s">
        <v>112</v>
      </c>
      <c r="B83" s="102">
        <v>5.1070000000000002</v>
      </c>
      <c r="C83" s="86"/>
      <c r="D83" s="102">
        <v>0.76100000000000001</v>
      </c>
      <c r="E83" s="86"/>
      <c r="F83" s="102">
        <v>-5.7170000000000005</v>
      </c>
      <c r="G83" s="86"/>
      <c r="H83" s="57">
        <v>0</v>
      </c>
      <c r="I83" s="86"/>
      <c r="J83" s="57">
        <v>0</v>
      </c>
      <c r="K83" s="86"/>
      <c r="L83" s="45">
        <v>0</v>
      </c>
      <c r="M83" s="86"/>
      <c r="N83" s="57">
        <v>0</v>
      </c>
      <c r="O83" s="86"/>
      <c r="P83" s="102">
        <f t="shared" si="40"/>
        <v>0</v>
      </c>
      <c r="Q83" s="86"/>
      <c r="R83" s="57">
        <v>0</v>
      </c>
      <c r="S83" s="57"/>
      <c r="T83" s="45">
        <v>0</v>
      </c>
      <c r="U83" s="86"/>
      <c r="V83" s="45">
        <v>0</v>
      </c>
      <c r="X83" s="57">
        <v>0</v>
      </c>
      <c r="Y83" s="86"/>
      <c r="Z83" s="102">
        <f t="shared" si="41"/>
        <v>0</v>
      </c>
      <c r="AA83" s="106"/>
      <c r="AB83" s="57">
        <v>2.359</v>
      </c>
    </row>
    <row r="84" spans="1:28" s="85" customFormat="1" ht="12.75" customHeight="1" x14ac:dyDescent="0.2">
      <c r="A84" s="101" t="s">
        <v>113</v>
      </c>
      <c r="B84" s="103">
        <v>-27.846</v>
      </c>
      <c r="C84" s="86"/>
      <c r="D84" s="103">
        <v>98.826999999999998</v>
      </c>
      <c r="E84" s="86"/>
      <c r="F84" s="103">
        <v>-77.833999999999989</v>
      </c>
      <c r="G84" s="86"/>
      <c r="H84" s="41">
        <v>-6.8579999999999997</v>
      </c>
      <c r="I84" s="86"/>
      <c r="J84" s="41">
        <v>-14.954000000000001</v>
      </c>
      <c r="K84" s="86"/>
      <c r="L84" s="41">
        <v>-1.2749999999999999</v>
      </c>
      <c r="M84" s="86"/>
      <c r="N84" s="41">
        <v>-20.440000000000001</v>
      </c>
      <c r="O84" s="86"/>
      <c r="P84" s="103">
        <f t="shared" si="40"/>
        <v>-43.527000000000001</v>
      </c>
      <c r="Q84" s="86"/>
      <c r="R84" s="41">
        <v>-3.4860000000000002</v>
      </c>
      <c r="S84" s="45"/>
      <c r="T84" s="41">
        <v>-13.757</v>
      </c>
      <c r="U84" s="86"/>
      <c r="V84" s="41">
        <v>-7.3090000000000002</v>
      </c>
      <c r="X84" s="41">
        <v>-26.536999999999999</v>
      </c>
      <c r="Y84" s="86"/>
      <c r="Z84" s="103">
        <f>SUM(R84,T84,V84,X84)+0.001</f>
        <v>-51.088000000000001</v>
      </c>
      <c r="AA84" s="106"/>
      <c r="AB84" s="41">
        <v>4.93</v>
      </c>
    </row>
    <row r="85" spans="1:28" s="86" customFormat="1" ht="12.75" customHeight="1" x14ac:dyDescent="0.2">
      <c r="A85" s="98" t="s">
        <v>114</v>
      </c>
      <c r="B85" s="23">
        <f>'Non-GAAP Income Statement'!B32</f>
        <v>152.16599999999991</v>
      </c>
      <c r="C85" s="84"/>
      <c r="D85" s="23">
        <f>'Non-GAAP Income Statement'!D32</f>
        <v>182.86300000000023</v>
      </c>
      <c r="E85" s="84"/>
      <c r="F85" s="23">
        <f>'Non-GAAP Income Statement'!F32</f>
        <v>219.16399999999985</v>
      </c>
      <c r="G85" s="84"/>
      <c r="H85" s="22">
        <f>'Non-GAAP Income Statement'!H32</f>
        <v>60.220999999999947</v>
      </c>
      <c r="I85" s="84"/>
      <c r="J85" s="22">
        <f>'Non-GAAP Income Statement'!J32</f>
        <v>57.695000000000014</v>
      </c>
      <c r="L85" s="22">
        <f>'Non-GAAP Income Statement'!L32</f>
        <v>63.738</v>
      </c>
      <c r="M85" s="84"/>
      <c r="N85" s="22">
        <f>'Non-GAAP Income Statement'!N32</f>
        <v>78.725000000000009</v>
      </c>
      <c r="O85" s="84"/>
      <c r="P85" s="23">
        <f>'Non-GAAP Income Statement'!P32</f>
        <v>260.37799999999993</v>
      </c>
      <c r="Q85" s="84"/>
      <c r="R85" s="22">
        <f>'Non-GAAP Income Statement'!R32</f>
        <v>58.979999999999983</v>
      </c>
      <c r="S85" s="84"/>
      <c r="T85" s="22">
        <f>'Non-GAAP Income Statement'!T32</f>
        <v>61.418000000000042</v>
      </c>
      <c r="V85" s="45">
        <f>'Non-GAAP Income Statement'!V32</f>
        <v>61.698000000000022</v>
      </c>
      <c r="W85" s="84"/>
      <c r="X85" s="22">
        <f>'Non-GAAP Income Statement'!X32</f>
        <v>77.083999999999961</v>
      </c>
      <c r="Y85" s="84"/>
      <c r="Z85" s="23">
        <f>'Non-GAAP Income Statement'!Z32</f>
        <v>259.17999999999989</v>
      </c>
      <c r="AA85" s="85"/>
      <c r="AB85" s="22">
        <f>'Non-GAAP Income Statement'!AB32</f>
        <v>58.782000000000018</v>
      </c>
    </row>
    <row r="86" spans="1:28" s="86" customFormat="1" ht="12.75" customHeight="1" x14ac:dyDescent="0.2">
      <c r="A86" s="119"/>
      <c r="B86" s="118"/>
      <c r="D86" s="118"/>
      <c r="F86" s="118"/>
      <c r="H86" s="45"/>
      <c r="J86" s="45"/>
      <c r="L86" s="45"/>
      <c r="N86" s="45"/>
      <c r="P86" s="118"/>
      <c r="R86" s="45"/>
      <c r="T86" s="45"/>
      <c r="V86" s="45"/>
      <c r="X86" s="45"/>
      <c r="Z86" s="118"/>
      <c r="AB86" s="45"/>
    </row>
    <row r="87" spans="1:28" s="86" customFormat="1" ht="12.75" customHeight="1" x14ac:dyDescent="0.2">
      <c r="A87" s="120" t="s">
        <v>115</v>
      </c>
      <c r="B87" s="65">
        <f>'GAAP Income Statement'!B34</f>
        <v>0.73</v>
      </c>
      <c r="C87" s="64"/>
      <c r="D87" s="65">
        <f>'GAAP Income Statement'!D34</f>
        <v>-0.3</v>
      </c>
      <c r="E87" s="64"/>
      <c r="F87" s="65">
        <f>'GAAP Income Statement'!F34</f>
        <v>1.2</v>
      </c>
      <c r="G87" s="64"/>
      <c r="H87" s="64">
        <f>'GAAP Income Statement'!H34</f>
        <v>0.33</v>
      </c>
      <c r="I87" s="64"/>
      <c r="J87" s="64">
        <f>'GAAP Income Statement'!J34</f>
        <v>0.37</v>
      </c>
      <c r="K87" s="64"/>
      <c r="L87" s="64">
        <f>'GAAP Income Statement'!L34</f>
        <v>0.32</v>
      </c>
      <c r="M87" s="64"/>
      <c r="N87" s="64">
        <f>'GAAP Income Statement'!N34</f>
        <v>0.33</v>
      </c>
      <c r="O87" s="64"/>
      <c r="P87" s="65">
        <f>'GAAP Income Statement'!P34</f>
        <v>1.36</v>
      </c>
      <c r="Q87" s="64"/>
      <c r="R87" s="64">
        <f>'GAAP Income Statement'!R34</f>
        <v>0.26</v>
      </c>
      <c r="S87" s="64"/>
      <c r="T87" s="64">
        <f>'GAAP Income Statement'!T34</f>
        <v>0.05</v>
      </c>
      <c r="U87" s="64"/>
      <c r="V87" s="64">
        <f>'GAAP Income Statement'!V34</f>
        <v>0.15</v>
      </c>
      <c r="W87" s="64"/>
      <c r="X87" s="64">
        <f>'GAAP Income Statement'!X34</f>
        <v>-0.05</v>
      </c>
      <c r="Y87" s="64"/>
      <c r="Z87" s="65">
        <f>'GAAP Income Statement'!Z34</f>
        <v>0.41</v>
      </c>
      <c r="AB87" s="64">
        <f>'GAAP Income Statement'!AB34</f>
        <v>-0.21</v>
      </c>
    </row>
    <row r="88" spans="1:28" s="86" customFormat="1" ht="12.75" customHeight="1" x14ac:dyDescent="0.2">
      <c r="A88" s="101" t="s">
        <v>92</v>
      </c>
      <c r="B88" s="123">
        <f>+B75/'GAAP Income Statement'!B36</f>
        <v>2.2163821770894463E-2</v>
      </c>
      <c r="C88" s="122"/>
      <c r="D88" s="123">
        <f>+D75/'GAAP Income Statement'!D36</f>
        <v>2.0934248767954172E-2</v>
      </c>
      <c r="E88" s="122">
        <v>0</v>
      </c>
      <c r="F88" s="123">
        <f>+F75/'GAAP Income Statement'!F36</f>
        <v>2.5403229181488702E-2</v>
      </c>
      <c r="G88" s="122">
        <v>0</v>
      </c>
      <c r="H88" s="121">
        <f>+H75/'GAAP Income Statement'!H36</f>
        <v>0</v>
      </c>
      <c r="I88" s="122">
        <v>0</v>
      </c>
      <c r="J88" s="121">
        <f>+J75/'GAAP Income Statement'!J36</f>
        <v>0</v>
      </c>
      <c r="K88" s="122">
        <v>0</v>
      </c>
      <c r="L88" s="121">
        <f>+L75/'GAAP Income Statement'!L36</f>
        <v>0</v>
      </c>
      <c r="M88" s="122">
        <v>0</v>
      </c>
      <c r="N88" s="121">
        <f>+N75/'GAAP Income Statement'!N36</f>
        <v>8.2721458514456881E-3</v>
      </c>
      <c r="O88" s="122">
        <v>0</v>
      </c>
      <c r="P88" s="123">
        <f>+P75/'GAAP Income Statement'!P36</f>
        <v>8.1375853133944156E-3</v>
      </c>
      <c r="Q88" s="122">
        <v>0</v>
      </c>
      <c r="R88" s="121">
        <f>+R75/'GAAP Income Statement'!R36</f>
        <v>1.2172601243269956E-2</v>
      </c>
      <c r="S88" s="122">
        <v>0</v>
      </c>
      <c r="T88" s="121">
        <f>+T75/'GAAP Income Statement'!T36</f>
        <v>9.8569738307349667E-3</v>
      </c>
      <c r="U88" s="122">
        <v>0</v>
      </c>
      <c r="V88" s="121">
        <f>+V75/'GAAP Income Statement'!V36</f>
        <v>6.8488376145829704E-3</v>
      </c>
      <c r="W88" s="122">
        <v>0</v>
      </c>
      <c r="X88" s="121">
        <f>+X75/'GAAP Income Statement'!X36</f>
        <v>4.7898938503377498E-3</v>
      </c>
      <c r="Y88" s="122">
        <v>0</v>
      </c>
      <c r="Z88" s="123">
        <f>+Z75/'GAAP Income Statement'!Z36</f>
        <v>3.3709431496406012E-2</v>
      </c>
      <c r="AB88" s="121">
        <f>+AB75/'GAAP Income Statement'!AB36</f>
        <v>4.3538821385708405E-3</v>
      </c>
    </row>
    <row r="89" spans="1:28" s="86" customFormat="1" ht="12.75" customHeight="1" x14ac:dyDescent="0.2">
      <c r="A89" s="101" t="s">
        <v>93</v>
      </c>
      <c r="B89" s="124">
        <f>+B76/'GAAP Income Statement'!B36</f>
        <v>0.38614038221110908</v>
      </c>
      <c r="C89" s="64"/>
      <c r="D89" s="124">
        <f>+D76/'GAAP Income Statement'!D36</f>
        <v>0.43220588854723913</v>
      </c>
      <c r="E89" s="64"/>
      <c r="F89" s="124">
        <f>+F76/'GAAP Income Statement'!F36</f>
        <v>0.40835167778493886</v>
      </c>
      <c r="G89" s="64"/>
      <c r="H89" s="121">
        <f>+H76/'GAAP Income Statement'!H36</f>
        <v>0.10732092859004637</v>
      </c>
      <c r="I89" s="117"/>
      <c r="J89" s="121">
        <f>+J76/'GAAP Income Statement'!J36</f>
        <v>0.10561616433290173</v>
      </c>
      <c r="K89" s="117"/>
      <c r="L89" s="121">
        <f>+L76/'GAAP Income Statement'!L36</f>
        <v>0.10590899871543515</v>
      </c>
      <c r="M89" s="117"/>
      <c r="N89" s="121">
        <f>+N76/'GAAP Income Statement'!N36</f>
        <v>0.11125648816850722</v>
      </c>
      <c r="O89" s="64"/>
      <c r="P89" s="124">
        <f>+P76/'GAAP Income Statement'!P36</f>
        <v>0.43005571832607897</v>
      </c>
      <c r="Q89" s="64"/>
      <c r="R89" s="121">
        <f>+R76/'GAAP Income Statement'!R36</f>
        <v>9.7467509385214202E-2</v>
      </c>
      <c r="S89" s="117"/>
      <c r="T89" s="121">
        <f>+T76/'GAAP Income Statement'!T36</f>
        <v>0.11154997216035641</v>
      </c>
      <c r="U89" s="117"/>
      <c r="V89" s="121">
        <f>+V76/'GAAP Income Statement'!V36</f>
        <v>0.12260813495521238</v>
      </c>
      <c r="W89" s="117"/>
      <c r="X89" s="121">
        <f>+X76/'GAAP Income Statement'!X36</f>
        <v>0.10568470918501614</v>
      </c>
      <c r="Y89" s="64"/>
      <c r="Z89" s="124">
        <f>+Z76/'GAAP Income Statement'!Z36</f>
        <v>0.43722064909605729</v>
      </c>
      <c r="AB89" s="121">
        <f>+AB76/'GAAP Income Statement'!AB36</f>
        <v>0.20314320505295611</v>
      </c>
    </row>
    <row r="90" spans="1:28" s="85" customFormat="1" ht="12.75" customHeight="1" x14ac:dyDescent="0.2">
      <c r="A90" s="101" t="s">
        <v>88</v>
      </c>
      <c r="B90" s="124">
        <f>+B77/'GAAP Income Statement'!B36</f>
        <v>0</v>
      </c>
      <c r="C90" s="64"/>
      <c r="D90" s="124">
        <f>+D77/'GAAP Income Statement'!D36</f>
        <v>0</v>
      </c>
      <c r="E90" s="64"/>
      <c r="F90" s="124">
        <f>+F77/'GAAP Income Statement'!F36</f>
        <v>0</v>
      </c>
      <c r="G90" s="64"/>
      <c r="H90" s="121">
        <f>+H77/'GAAP Income Statement'!H36</f>
        <v>0</v>
      </c>
      <c r="I90" s="117"/>
      <c r="J90" s="121">
        <f>+J77/'GAAP Income Statement'!J36</f>
        <v>0</v>
      </c>
      <c r="K90" s="117"/>
      <c r="L90" s="121">
        <f>+L77/'GAAP Income Statement'!L36</f>
        <v>0</v>
      </c>
      <c r="M90" s="117"/>
      <c r="N90" s="121">
        <f>+N77/'GAAP Income Statement'!N36</f>
        <v>-5.595103853735377E-4</v>
      </c>
      <c r="O90" s="64"/>
      <c r="P90" s="124">
        <f>+P77/'GAAP Income Statement'!P36</f>
        <v>-5.5040899622334758E-4</v>
      </c>
      <c r="Q90" s="64"/>
      <c r="R90" s="121">
        <f>+R77/'GAAP Income Statement'!R36</f>
        <v>-9.1901405397907079E-4</v>
      </c>
      <c r="S90" s="117"/>
      <c r="T90" s="121">
        <f>+T77/'GAAP Income Statement'!T36</f>
        <v>-1.3136831848552337E-3</v>
      </c>
      <c r="U90" s="117"/>
      <c r="V90" s="121">
        <f>+V77/'GAAP Income Statement'!V36</f>
        <v>-1.1763270712069989E-3</v>
      </c>
      <c r="W90" s="117"/>
      <c r="X90" s="121">
        <f>+X77/'GAAP Income Statement'!X36</f>
        <v>-1.1755417141854549E-3</v>
      </c>
      <c r="Y90" s="64"/>
      <c r="Z90" s="124">
        <f>+Z77/'GAAP Income Statement'!Z36</f>
        <v>-4.5828795469396643E-3</v>
      </c>
      <c r="AB90" s="121">
        <f>+AB77/'GAAP Income Statement'!AB36</f>
        <v>-1.1563630629604648E-3</v>
      </c>
    </row>
    <row r="91" spans="1:28" s="85" customFormat="1" ht="12.75" customHeight="1" x14ac:dyDescent="0.2">
      <c r="A91" s="101" t="s">
        <v>102</v>
      </c>
      <c r="B91" s="124">
        <f>+B78/'GAAP Income Statement'!B36</f>
        <v>6.6006684867195672E-2</v>
      </c>
      <c r="C91" s="64"/>
      <c r="D91" s="124">
        <f>+D78/'GAAP Income Statement'!D36</f>
        <v>3.2290130997009392E-2</v>
      </c>
      <c r="E91" s="64"/>
      <c r="F91" s="124">
        <f>+F78/'GAAP Income Statement'!F36</f>
        <v>8.248725653494933E-2</v>
      </c>
      <c r="G91" s="64"/>
      <c r="H91" s="121">
        <f>+H78/'GAAP Income Statement'!H36</f>
        <v>1.0972564384989867E-2</v>
      </c>
      <c r="I91" s="117"/>
      <c r="J91" s="121">
        <f>+J78/'GAAP Income Statement'!J36</f>
        <v>3.3073341289986388E-2</v>
      </c>
      <c r="K91" s="117"/>
      <c r="L91" s="121">
        <f>+L78/'GAAP Income Statement'!L36</f>
        <v>1.2913258062335203E-2</v>
      </c>
      <c r="M91" s="117"/>
      <c r="N91" s="121">
        <f>+N78/'GAAP Income Statement'!N36</f>
        <v>5.447048797913457E-2</v>
      </c>
      <c r="O91" s="64"/>
      <c r="P91" s="124">
        <f>+P78/'GAAP Income Statement'!P36</f>
        <v>0.11089471099293784</v>
      </c>
      <c r="Q91" s="64"/>
      <c r="R91" s="121">
        <f>+R78/'GAAP Income Statement'!R36</f>
        <v>3.4965883770732009E-2</v>
      </c>
      <c r="S91" s="117"/>
      <c r="T91" s="121">
        <f>+T78/'GAAP Income Statement'!T36</f>
        <v>1.6460189309576836E-2</v>
      </c>
      <c r="U91" s="117"/>
      <c r="V91" s="121">
        <f>+V78/'GAAP Income Statement'!V36</f>
        <v>2.4206197065281796E-2</v>
      </c>
      <c r="W91" s="117"/>
      <c r="X91" s="121">
        <f>+X78/'GAAP Income Statement'!X36</f>
        <v>1.8422668655145187E-3</v>
      </c>
      <c r="Y91" s="64"/>
      <c r="Z91" s="124">
        <f>+Z78/'GAAP Income Statement'!Z36</f>
        <v>7.7656284033979533E-2</v>
      </c>
      <c r="AB91" s="121">
        <f>+AB78/'GAAP Income Statement'!AB36</f>
        <v>1.0573713765100613E-2</v>
      </c>
    </row>
    <row r="92" spans="1:28" s="85" customFormat="1" ht="12.75" customHeight="1" x14ac:dyDescent="0.2">
      <c r="A92" s="101" t="s">
        <v>103</v>
      </c>
      <c r="B92" s="124">
        <f>+B79/'GAAP Income Statement'!B36</f>
        <v>0</v>
      </c>
      <c r="C92" s="64"/>
      <c r="D92" s="124">
        <f>+D79/'GAAP Income Statement'!D36</f>
        <v>0</v>
      </c>
      <c r="E92" s="64"/>
      <c r="F92" s="124">
        <f>+F79/'GAAP Income Statement'!F36</f>
        <v>0</v>
      </c>
      <c r="G92" s="64"/>
      <c r="H92" s="121">
        <f>+H79/'GAAP Income Statement'!H36</f>
        <v>0</v>
      </c>
      <c r="I92" s="117"/>
      <c r="J92" s="121">
        <f>+J79/'GAAP Income Statement'!J36</f>
        <v>0</v>
      </c>
      <c r="K92" s="117"/>
      <c r="L92" s="121">
        <f>+L79/'GAAP Income Statement'!L36</f>
        <v>0</v>
      </c>
      <c r="M92" s="117"/>
      <c r="N92" s="121">
        <f>+N79/'GAAP Income Statement'!N36</f>
        <v>0</v>
      </c>
      <c r="O92" s="64"/>
      <c r="P92" s="124">
        <f>+P79/'GAAP Income Statement'!P36</f>
        <v>0</v>
      </c>
      <c r="Q92" s="64"/>
      <c r="R92" s="121">
        <f>+R79/'GAAP Income Statement'!R36</f>
        <v>1.4600185536799577E-2</v>
      </c>
      <c r="S92" s="117"/>
      <c r="T92" s="121">
        <f>+T79/'GAAP Income Statement'!T36</f>
        <v>1.4902909242761693E-2</v>
      </c>
      <c r="U92" s="117"/>
      <c r="V92" s="121">
        <f>+V79/'GAAP Income Statement'!V36</f>
        <v>1.7383500052281203E-2</v>
      </c>
      <c r="W92" s="117"/>
      <c r="X92" s="121">
        <f>+X79/'GAAP Income Statement'!X36</f>
        <v>0.59460478989385035</v>
      </c>
      <c r="Y92" s="64"/>
      <c r="Z92" s="124">
        <f>+Z79/'GAAP Income Statement'!Z36</f>
        <v>0.63751688085384439</v>
      </c>
      <c r="AB92" s="121">
        <f>+AB79/'GAAP Income Statement'!AB36</f>
        <v>0</v>
      </c>
    </row>
    <row r="93" spans="1:28" s="85" customFormat="1" ht="12.75" customHeight="1" x14ac:dyDescent="0.2">
      <c r="A93" s="101" t="s">
        <v>104</v>
      </c>
      <c r="B93" s="124">
        <f>+B80/'GAAP Income Statement'!B36</f>
        <v>0</v>
      </c>
      <c r="C93" s="64"/>
      <c r="D93" s="124">
        <f>+D80/'GAAP Income Statement'!D36</f>
        <v>0</v>
      </c>
      <c r="E93" s="64"/>
      <c r="F93" s="124">
        <f>+F80/'GAAP Income Statement'!F36</f>
        <v>0</v>
      </c>
      <c r="G93" s="64"/>
      <c r="H93" s="121">
        <f>+H80/'GAAP Income Statement'!H36</f>
        <v>0</v>
      </c>
      <c r="I93" s="117"/>
      <c r="J93" s="121">
        <f>+J80/'GAAP Income Statement'!J36</f>
        <v>0</v>
      </c>
      <c r="K93" s="117"/>
      <c r="L93" s="121">
        <f>+L80/'GAAP Income Statement'!L36</f>
        <v>0</v>
      </c>
      <c r="M93" s="117"/>
      <c r="N93" s="121">
        <f>+N80/'GAAP Income Statement'!N36</f>
        <v>0</v>
      </c>
      <c r="O93" s="64"/>
      <c r="P93" s="124">
        <f>+P80/'GAAP Income Statement'!P36</f>
        <v>0</v>
      </c>
      <c r="Q93" s="64"/>
      <c r="R93" s="121">
        <f>+R80/'GAAP Income Statement'!R36</f>
        <v>0</v>
      </c>
      <c r="S93" s="117"/>
      <c r="T93" s="121">
        <f>+T80/'GAAP Income Statement'!T36</f>
        <v>0</v>
      </c>
      <c r="U93" s="117"/>
      <c r="V93" s="121">
        <f>+V80/'GAAP Income Statement'!V36</f>
        <v>0.11869575825171656</v>
      </c>
      <c r="W93" s="117"/>
      <c r="X93" s="121">
        <f>+X80/'GAAP Income Statement'!X36</f>
        <v>0.12755504868848144</v>
      </c>
      <c r="Y93" s="64"/>
      <c r="Z93" s="124">
        <f>+Z80/'GAAP Income Statement'!Z36</f>
        <v>0.24536702243519928</v>
      </c>
      <c r="AB93" s="121">
        <f>+AB80/'GAAP Income Statement'!AB36</f>
        <v>0</v>
      </c>
    </row>
    <row r="94" spans="1:28" s="85" customFormat="1" ht="12.75" customHeight="1" x14ac:dyDescent="0.2">
      <c r="A94" s="111" t="s">
        <v>59</v>
      </c>
      <c r="B94" s="124">
        <f>+B81/'GAAP Income Statement'!B36</f>
        <v>0</v>
      </c>
      <c r="C94" s="64"/>
      <c r="D94" s="124">
        <f>+D81/'GAAP Income Statement'!D36</f>
        <v>0.20999957878775116</v>
      </c>
      <c r="E94" s="64"/>
      <c r="F94" s="124">
        <f>+F81/'GAAP Income Statement'!F36</f>
        <v>0.43689369146166912</v>
      </c>
      <c r="G94" s="64"/>
      <c r="H94" s="121">
        <f>+H81/'GAAP Income Statement'!H36</f>
        <v>8.971437700217768E-3</v>
      </c>
      <c r="I94" s="117"/>
      <c r="J94" s="121">
        <f>+J81/'GAAP Income Statement'!J36</f>
        <v>0</v>
      </c>
      <c r="K94" s="117"/>
      <c r="L94" s="121">
        <f>+L81/'GAAP Income Statement'!L36</f>
        <v>4.3438577513352714E-3</v>
      </c>
      <c r="M94" s="117"/>
      <c r="N94" s="121">
        <f>+N81/'GAAP Income Statement'!N36</f>
        <v>0.23090563211761769</v>
      </c>
      <c r="O94" s="64"/>
      <c r="P94" s="124">
        <f>+P81/'GAAP Income Statement'!P36</f>
        <v>0.24053719918031399</v>
      </c>
      <c r="Q94" s="64"/>
      <c r="R94" s="121">
        <f>+R81/'GAAP Income Statement'!R36</f>
        <v>-2.2108356958930476E-3</v>
      </c>
      <c r="S94" s="117"/>
      <c r="T94" s="121">
        <f>+T81/'GAAP Income Statement'!T36</f>
        <v>0.33483261414253901</v>
      </c>
      <c r="U94" s="117"/>
      <c r="V94" s="121">
        <f>+V81/'GAAP Income Statement'!V36</f>
        <v>3.8278554250461817E-2</v>
      </c>
      <c r="W94" s="117"/>
      <c r="X94" s="121">
        <f>+X81/'GAAP Income Statement'!X36</f>
        <v>6.8777962979208705E-3</v>
      </c>
      <c r="Y94" s="64"/>
      <c r="Z94" s="124">
        <f>+Z81/'GAAP Income Statement'!Z36</f>
        <v>0.37820954040514049</v>
      </c>
      <c r="AB94" s="121">
        <f>+AB81/'GAAP Income Statement'!AB36</f>
        <v>0.32541983863479074</v>
      </c>
    </row>
    <row r="95" spans="1:28" s="85" customFormat="1" ht="12.75" customHeight="1" x14ac:dyDescent="0.2">
      <c r="A95" s="101" t="s">
        <v>111</v>
      </c>
      <c r="B95" s="124">
        <f>+B82/'GAAP Income Statement'!B36</f>
        <v>0.28671786628564627</v>
      </c>
      <c r="C95" s="64"/>
      <c r="D95" s="124">
        <f>+D82/'GAAP Income Statement'!D36</f>
        <v>0.30430057706078095</v>
      </c>
      <c r="E95" s="64"/>
      <c r="F95" s="124">
        <f>+F82/'GAAP Income Statement'!F36</f>
        <v>0.37725678605207874</v>
      </c>
      <c r="G95" s="64"/>
      <c r="H95" s="121">
        <f>+H82/'GAAP Income Statement'!H36</f>
        <v>0.10330185902987395</v>
      </c>
      <c r="I95" s="117"/>
      <c r="J95" s="121">
        <f>+J82/'GAAP Income Statement'!J36</f>
        <v>0.10415370908907529</v>
      </c>
      <c r="K95" s="117"/>
      <c r="L95" s="121">
        <f>+L82/'GAAP Income Statement'!L36</f>
        <v>0.10490331958623487</v>
      </c>
      <c r="M95" s="117"/>
      <c r="N95" s="121">
        <f>+N82/'GAAP Income Statement'!N36</f>
        <v>0.11317603918294268</v>
      </c>
      <c r="O95" s="64"/>
      <c r="P95" s="124">
        <f>+P82/'GAAP Income Statement'!P36</f>
        <v>0.42541534709638079</v>
      </c>
      <c r="Q95" s="64"/>
      <c r="R95" s="121">
        <f>+R82/'GAAP Income Statement'!R36</f>
        <v>0.12293980457946438</v>
      </c>
      <c r="S95" s="117"/>
      <c r="T95" s="121">
        <f>+T82/'GAAP Income Statement'!T36</f>
        <v>0.12081535356347439</v>
      </c>
      <c r="U95" s="117"/>
      <c r="V95" s="121">
        <f>+V82/'GAAP Income Statement'!V36</f>
        <v>0.12252971315046532</v>
      </c>
      <c r="W95" s="117"/>
      <c r="X95" s="121">
        <f>+X82/'GAAP Income Statement'!X36</f>
        <v>0.11757171681726469</v>
      </c>
      <c r="Y95" s="64"/>
      <c r="Z95" s="124">
        <f>+Z82/'GAAP Income Statement'!Z36</f>
        <v>0.48382487475495539</v>
      </c>
      <c r="AB95" s="121">
        <f>+AB82/'GAAP Income Statement'!AB36</f>
        <v>0.11806291666301653</v>
      </c>
    </row>
    <row r="96" spans="1:28" s="85" customFormat="1" ht="12.75" customHeight="1" x14ac:dyDescent="0.2">
      <c r="A96" s="101" t="s">
        <v>112</v>
      </c>
      <c r="B96" s="124">
        <f>+B83/'GAAP Income Statement'!B36</f>
        <v>4.343462693167998E-2</v>
      </c>
      <c r="C96" s="64"/>
      <c r="D96" s="124">
        <f>+D83/'GAAP Income Statement'!D36</f>
        <v>6.410850427530433E-3</v>
      </c>
      <c r="E96" s="64"/>
      <c r="F96" s="124">
        <f>+F83/'GAAP Income Statement'!F36</f>
        <v>-4.785181589145665E-2</v>
      </c>
      <c r="G96" s="64"/>
      <c r="H96" s="121">
        <f>+H83/'GAAP Income Statement'!H36</f>
        <v>0</v>
      </c>
      <c r="I96" s="117"/>
      <c r="J96" s="121">
        <f>+J83/'GAAP Income Statement'!J36</f>
        <v>0</v>
      </c>
      <c r="K96" s="117"/>
      <c r="L96" s="121">
        <f>+L83/'GAAP Income Statement'!L36</f>
        <v>0</v>
      </c>
      <c r="M96" s="117"/>
      <c r="N96" s="121">
        <f>+N83/'GAAP Income Statement'!N36</f>
        <v>0</v>
      </c>
      <c r="O96" s="64"/>
      <c r="P96" s="124">
        <f>+P83/'GAAP Income Statement'!P36</f>
        <v>0</v>
      </c>
      <c r="Q96" s="64"/>
      <c r="R96" s="121">
        <f>+R83/'GAAP Income Statement'!R36</f>
        <v>0</v>
      </c>
      <c r="S96" s="117"/>
      <c r="T96" s="121">
        <f>+T83/'GAAP Income Statement'!T36</f>
        <v>0</v>
      </c>
      <c r="U96" s="117"/>
      <c r="V96" s="121">
        <f>+V83/'GAAP Income Statement'!V36</f>
        <v>0</v>
      </c>
      <c r="W96" s="117"/>
      <c r="X96" s="121">
        <f>+X83/'GAAP Income Statement'!X36</f>
        <v>0</v>
      </c>
      <c r="Y96" s="64"/>
      <c r="Z96" s="124">
        <f>+Z83/'GAAP Income Statement'!Z36</f>
        <v>0</v>
      </c>
      <c r="AB96" s="121">
        <f>+AB83/'GAAP Income Statement'!AB36</f>
        <v>2.0665609587301032E-2</v>
      </c>
    </row>
    <row r="97" spans="1:28" s="86" customFormat="1" ht="12.75" customHeight="1" x14ac:dyDescent="0.2">
      <c r="A97" s="101" t="s">
        <v>113</v>
      </c>
      <c r="B97" s="126">
        <f>+B84/'GAAP Income Statement'!B36</f>
        <v>-0.23682800500089304</v>
      </c>
      <c r="C97" s="64"/>
      <c r="D97" s="126">
        <f>+D84/'GAAP Income Statement'!D36</f>
        <v>0.83254285834632069</v>
      </c>
      <c r="E97" s="64"/>
      <c r="F97" s="126">
        <f>+F84/'GAAP Income Statement'!F36</f>
        <v>-0.65147773974035961</v>
      </c>
      <c r="G97" s="64"/>
      <c r="H97" s="125">
        <f>+H84/'GAAP Income Statement'!H36</f>
        <v>-5.7662717664567438E-2</v>
      </c>
      <c r="I97" s="117"/>
      <c r="J97" s="125">
        <f>+J84/'GAAP Income Statement'!J36</f>
        <v>-0.12568710181714268</v>
      </c>
      <c r="K97" s="117"/>
      <c r="L97" s="125">
        <f>+L84/'GAAP Income Statement'!L36</f>
        <v>-1.0775133527144884E-2</v>
      </c>
      <c r="M97" s="117"/>
      <c r="N97" s="125">
        <f>+N84/'GAAP Income Statement'!N36</f>
        <v>-0.17594449656977096</v>
      </c>
      <c r="O97" s="64"/>
      <c r="P97" s="126">
        <f>+P84/'GAAP Income Statement'!P36</f>
        <v>-0.36857926736328689</v>
      </c>
      <c r="Q97" s="64"/>
      <c r="R97" s="125">
        <f>+R84/'GAAP Income Statement'!R36</f>
        <v>-3.0223424454443783E-2</v>
      </c>
      <c r="S97" s="117"/>
      <c r="T97" s="125">
        <f>+T84/'GAAP Income Statement'!T36</f>
        <v>-0.11968436804008908</v>
      </c>
      <c r="U97" s="117"/>
      <c r="V97" s="125">
        <f>+V84/'GAAP Income Statement'!V36</f>
        <v>-6.3687218988532995E-2</v>
      </c>
      <c r="W97" s="117"/>
      <c r="X97" s="125">
        <f>+X84/'GAAP Income Statement'!X36</f>
        <v>-0.23280112290551802</v>
      </c>
      <c r="Y97" s="64"/>
      <c r="Z97" s="126">
        <f>+Z84/'GAAP Income Statement'!Z36</f>
        <v>-0.44511435417120454</v>
      </c>
      <c r="AB97" s="125">
        <f>+AB84/'GAAP Income Statement'!AB36</f>
        <v>4.3188408336326443E-2</v>
      </c>
    </row>
    <row r="98" spans="1:28" s="86" customFormat="1" ht="12.75" customHeight="1" x14ac:dyDescent="0.2">
      <c r="A98" s="120" t="s">
        <v>116</v>
      </c>
      <c r="B98" s="128">
        <f>+'Non-GAAP Income Statement'!B34</f>
        <v>1.29</v>
      </c>
      <c r="C98" s="64"/>
      <c r="D98" s="128">
        <f>+'Non-GAAP Income Statement'!D34</f>
        <v>1.54</v>
      </c>
      <c r="E98" s="64"/>
      <c r="F98" s="128">
        <f>+'Non-GAAP Income Statement'!F34</f>
        <v>1.83</v>
      </c>
      <c r="G98" s="64"/>
      <c r="H98" s="127">
        <f>+'Non-GAAP Income Statement'!H34</f>
        <v>0.51</v>
      </c>
      <c r="I98" s="117"/>
      <c r="J98" s="127">
        <f>+'Non-GAAP Income Statement'!J34</f>
        <v>0.48</v>
      </c>
      <c r="K98" s="117"/>
      <c r="L98" s="127">
        <f>+'Non-GAAP Income Statement'!L34</f>
        <v>0.54</v>
      </c>
      <c r="M98" s="117"/>
      <c r="N98" s="127">
        <f>+'Non-GAAP Income Statement'!N34</f>
        <v>0.68</v>
      </c>
      <c r="O98" s="64"/>
      <c r="P98" s="128">
        <f>+'Non-GAAP Income Statement'!P34</f>
        <v>2.2000000000000002</v>
      </c>
      <c r="Q98" s="64"/>
      <c r="R98" s="127">
        <f>+'Non-GAAP Income Statement'!R34</f>
        <v>0.51</v>
      </c>
      <c r="S98" s="117"/>
      <c r="T98" s="127">
        <f>+'Non-GAAP Income Statement'!T34</f>
        <v>0.53</v>
      </c>
      <c r="U98" s="117"/>
      <c r="V98" s="127">
        <f>+'Non-GAAP Income Statement'!V34</f>
        <v>0.54</v>
      </c>
      <c r="W98" s="117"/>
      <c r="X98" s="127">
        <f>+'Non-GAAP Income Statement'!X34</f>
        <v>0.68</v>
      </c>
      <c r="Y98" s="64"/>
      <c r="Z98" s="128">
        <f>+'Non-GAAP Income Statement'!Z34</f>
        <v>2.2599999999999998</v>
      </c>
      <c r="AB98" s="127">
        <f>+'Non-GAAP Income Statement'!AB34</f>
        <v>0.51</v>
      </c>
    </row>
    <row r="99" spans="1:28" ht="12.75" customHeight="1" x14ac:dyDescent="0.2">
      <c r="A99" s="112"/>
      <c r="B99" s="65"/>
      <c r="C99" s="64"/>
      <c r="D99" s="65"/>
      <c r="E99" s="64"/>
      <c r="F99" s="65"/>
      <c r="G99" s="64"/>
      <c r="H99" s="86"/>
      <c r="I99" s="117"/>
      <c r="J99" s="86"/>
      <c r="K99" s="117"/>
      <c r="L99" s="86"/>
      <c r="M99" s="117"/>
      <c r="N99" s="86"/>
      <c r="O99" s="64"/>
      <c r="P99" s="65"/>
      <c r="Q99" s="64"/>
      <c r="R99" s="86"/>
      <c r="S99" s="117"/>
      <c r="T99" s="86"/>
      <c r="U99" s="117"/>
      <c r="V99" s="86"/>
      <c r="W99" s="117"/>
      <c r="X99" s="86"/>
      <c r="Y99" s="64"/>
      <c r="Z99" s="65"/>
      <c r="AB99" s="86"/>
    </row>
    <row r="100" spans="1:28" s="86" customFormat="1" ht="12.75" customHeight="1" x14ac:dyDescent="0.2">
      <c r="A100" s="120" t="s">
        <v>117</v>
      </c>
      <c r="B100" s="129">
        <f>'GAAP Income Statement'!B35</f>
        <v>0.71</v>
      </c>
      <c r="C100" s="64"/>
      <c r="D100" s="129">
        <f>'GAAP Income Statement'!D35</f>
        <v>-0.3</v>
      </c>
      <c r="E100" s="64"/>
      <c r="F100" s="129">
        <f>'GAAP Income Statement'!F35</f>
        <v>1.19</v>
      </c>
      <c r="G100" s="64"/>
      <c r="H100" s="63">
        <f>'GAAP Income Statement'!H35</f>
        <v>0.33</v>
      </c>
      <c r="I100" s="117"/>
      <c r="J100" s="63">
        <f>'GAAP Income Statement'!J35</f>
        <v>0.36</v>
      </c>
      <c r="K100" s="117"/>
      <c r="L100" s="63">
        <f>'GAAP Income Statement'!L35</f>
        <v>0.32</v>
      </c>
      <c r="M100" s="117"/>
      <c r="N100" s="63">
        <f>'GAAP Income Statement'!N35</f>
        <v>0.33</v>
      </c>
      <c r="O100" s="64"/>
      <c r="P100" s="129">
        <f>'GAAP Income Statement'!P35</f>
        <v>1.34</v>
      </c>
      <c r="Q100" s="64"/>
      <c r="R100" s="63">
        <f>'GAAP Income Statement'!R35</f>
        <v>0.26</v>
      </c>
      <c r="S100" s="117"/>
      <c r="T100" s="63">
        <f>'GAAP Income Statement'!T35</f>
        <v>0.05</v>
      </c>
      <c r="U100" s="117"/>
      <c r="V100" s="63">
        <f>'GAAP Income Statement'!V35</f>
        <v>0.15</v>
      </c>
      <c r="W100" s="117"/>
      <c r="X100" s="63">
        <f>'GAAP Income Statement'!X35</f>
        <v>-0.05</v>
      </c>
      <c r="Y100" s="64"/>
      <c r="Z100" s="129">
        <f>'GAAP Income Statement'!Z35</f>
        <v>0.41</v>
      </c>
      <c r="AB100" s="63">
        <f>'GAAP Income Statement'!AB35</f>
        <v>-0.21</v>
      </c>
    </row>
    <row r="101" spans="1:28" s="86" customFormat="1" ht="12.75" customHeight="1" x14ac:dyDescent="0.2">
      <c r="A101" s="101" t="s">
        <v>92</v>
      </c>
      <c r="B101" s="126">
        <f>+B75/'GAAP Income Statement'!B37</f>
        <v>2.1541818903235404E-2</v>
      </c>
      <c r="C101" s="64"/>
      <c r="D101" s="126">
        <f>+D75/'GAAP Income Statement'!D37</f>
        <v>2.0934248767954172E-2</v>
      </c>
      <c r="E101" s="64"/>
      <c r="F101" s="126">
        <f>+F75/'GAAP Income Statement'!F37</f>
        <v>2.5032992411745298E-2</v>
      </c>
      <c r="G101" s="64"/>
      <c r="H101" s="121">
        <f>+H75/'GAAP Income Statement'!H37</f>
        <v>0</v>
      </c>
      <c r="I101" s="117"/>
      <c r="J101" s="121">
        <f>+J75/'GAAP Income Statement'!J37</f>
        <v>0</v>
      </c>
      <c r="K101" s="117"/>
      <c r="L101" s="121">
        <f>+L75/'GAAP Income Statement'!L37</f>
        <v>0</v>
      </c>
      <c r="M101" s="117"/>
      <c r="N101" s="121">
        <f>+N75/'GAAP Income Statement'!N37</f>
        <v>8.1251321073768749E-3</v>
      </c>
      <c r="O101" s="64"/>
      <c r="P101" s="126">
        <f>+P75/'GAAP Income Statement'!P37</f>
        <v>8.0094012535004665E-3</v>
      </c>
      <c r="Q101" s="64"/>
      <c r="R101" s="121">
        <f>+R75/'GAAP Income Statement'!R37</f>
        <v>1.1997231408136582E-2</v>
      </c>
      <c r="S101" s="117"/>
      <c r="T101" s="121">
        <f>+T75/'GAAP Income Statement'!T37</f>
        <v>9.7738134262693888E-3</v>
      </c>
      <c r="U101" s="117"/>
      <c r="V101" s="121">
        <f>+V75/'GAAP Income Statement'!V37</f>
        <v>6.7744020685197156E-3</v>
      </c>
      <c r="W101" s="117"/>
      <c r="X101" s="121">
        <f>+X75/'GAAP Income Statement'!X37</f>
        <v>4.7467941751793089E-3</v>
      </c>
      <c r="Y101" s="64"/>
      <c r="Z101" s="126">
        <f>+Z75/'GAAP Income Statement'!Z37</f>
        <v>3.3349998276040405E-2</v>
      </c>
      <c r="AB101" s="121">
        <f>+AB75/'GAAP Income Statement'!AB37</f>
        <v>4.3538821385708405E-3</v>
      </c>
    </row>
    <row r="102" spans="1:28" s="86" customFormat="1" ht="12.75" customHeight="1" x14ac:dyDescent="0.2">
      <c r="A102" s="101" t="s">
        <v>93</v>
      </c>
      <c r="B102" s="126">
        <f>+B76/'GAAP Income Statement'!B37</f>
        <v>0.37530378428422628</v>
      </c>
      <c r="C102" s="64"/>
      <c r="D102" s="126">
        <f>+D76/'GAAP Income Statement'!D37</f>
        <v>0.43220588854723913</v>
      </c>
      <c r="E102" s="64"/>
      <c r="F102" s="126">
        <f>+F76/'GAAP Income Statement'!F37</f>
        <v>0.40240019795447046</v>
      </c>
      <c r="G102" s="64"/>
      <c r="H102" s="130">
        <f>+H76/'GAAP Income Statement'!H37</f>
        <v>0.10540049545829881</v>
      </c>
      <c r="I102" s="117"/>
      <c r="J102" s="130">
        <f>+J76/'GAAP Income Statement'!J37</f>
        <v>0.10411108717625794</v>
      </c>
      <c r="K102" s="117"/>
      <c r="L102" s="130">
        <f>+L76/'GAAP Income Statement'!L37</f>
        <v>0.10451956197196029</v>
      </c>
      <c r="M102" s="117"/>
      <c r="N102" s="130">
        <f>+N76/'GAAP Income Statement'!N37</f>
        <v>0.10927922215176486</v>
      </c>
      <c r="O102" s="64"/>
      <c r="P102" s="126">
        <f>+P76/'GAAP Income Statement'!P37</f>
        <v>0.42328143752500313</v>
      </c>
      <c r="Q102" s="64"/>
      <c r="R102" s="130">
        <f>+R76/'GAAP Income Statement'!R37</f>
        <v>9.6063301631247405E-2</v>
      </c>
      <c r="S102" s="117"/>
      <c r="T102" s="130">
        <f>+T76/'GAAP Income Statement'!T37</f>
        <v>0.1106088576801643</v>
      </c>
      <c r="U102" s="117"/>
      <c r="V102" s="130">
        <f>+V76/'GAAP Income Statement'!V37</f>
        <v>0.12127558715794003</v>
      </c>
      <c r="W102" s="117"/>
      <c r="X102" s="130">
        <f>+X76/'GAAP Income Statement'!X37</f>
        <v>0.10473375353184081</v>
      </c>
      <c r="Y102" s="64"/>
      <c r="Z102" s="126">
        <f>+Z76/'GAAP Income Statement'!Z37</f>
        <v>0.43255870082405251</v>
      </c>
      <c r="AB102" s="130">
        <f>+AB76/'GAAP Income Statement'!AB37</f>
        <v>0.20314320505295611</v>
      </c>
    </row>
    <row r="103" spans="1:28" s="85" customFormat="1" ht="12.75" customHeight="1" x14ac:dyDescent="0.2">
      <c r="A103" s="101" t="s">
        <v>88</v>
      </c>
      <c r="B103" s="126">
        <f>+B77/'GAAP Income Statement'!B37</f>
        <v>0</v>
      </c>
      <c r="C103" s="64"/>
      <c r="D103" s="126">
        <f>+D77/'GAAP Income Statement'!D37</f>
        <v>0</v>
      </c>
      <c r="E103" s="64"/>
      <c r="F103" s="126">
        <f>+F77/'GAAP Income Statement'!F37</f>
        <v>0</v>
      </c>
      <c r="G103" s="64"/>
      <c r="H103" s="131">
        <f>+H77/'GAAP Income Statement'!H37</f>
        <v>0</v>
      </c>
      <c r="I103" s="117"/>
      <c r="J103" s="131">
        <f>+J77/'GAAP Income Statement'!J37</f>
        <v>0</v>
      </c>
      <c r="K103" s="117"/>
      <c r="L103" s="131">
        <f>+L77/'GAAP Income Statement'!L37</f>
        <v>0</v>
      </c>
      <c r="M103" s="117"/>
      <c r="N103" s="131">
        <f>+N77/'GAAP Income Statement'!N37</f>
        <v>-5.49566687803847E-4</v>
      </c>
      <c r="O103" s="64"/>
      <c r="P103" s="126">
        <f>+P77/'GAAP Income Statement'!P37</f>
        <v>-5.4173889851980267E-4</v>
      </c>
      <c r="Q103" s="64"/>
      <c r="R103" s="131">
        <f>+R77/'GAAP Income Statement'!R37</f>
        <v>-9.057738812410811E-4</v>
      </c>
      <c r="S103" s="117"/>
      <c r="T103" s="131">
        <f>+T77/'GAAP Income Statement'!T37</f>
        <v>-1.3026000241541727E-3</v>
      </c>
      <c r="U103" s="117"/>
      <c r="V103" s="131">
        <f>+V77/'GAAP Income Statement'!V37</f>
        <v>-1.1635423400129282E-3</v>
      </c>
      <c r="W103" s="117"/>
      <c r="X103" s="131">
        <f>+X77/'GAAP Income Statement'!X37</f>
        <v>-1.1649641382308195E-3</v>
      </c>
      <c r="Y103" s="64"/>
      <c r="Z103" s="126">
        <f>+Z77/'GAAP Income Statement'!Z37</f>
        <v>-4.53401372271834E-3</v>
      </c>
      <c r="AB103" s="131">
        <f>+AB77/'GAAP Income Statement'!AB37</f>
        <v>-1.1563630629604648E-3</v>
      </c>
    </row>
    <row r="104" spans="1:28" s="85" customFormat="1" ht="12.75" customHeight="1" x14ac:dyDescent="0.2">
      <c r="A104" s="101" t="s">
        <v>102</v>
      </c>
      <c r="B104" s="126">
        <f>+B78/'GAAP Income Statement'!B37</f>
        <v>6.4154281085191861E-2</v>
      </c>
      <c r="C104" s="64"/>
      <c r="D104" s="126">
        <f>+D78/'GAAP Income Statement'!D37</f>
        <v>3.2290130997009392E-2</v>
      </c>
      <c r="E104" s="64"/>
      <c r="F104" s="126">
        <f>+F78/'GAAP Income Statement'!F37</f>
        <v>8.1285054437479382E-2</v>
      </c>
      <c r="G104" s="64"/>
      <c r="H104" s="131">
        <f>+H78/'GAAP Income Statement'!H37</f>
        <v>1.0776218001651528E-2</v>
      </c>
      <c r="I104" s="117"/>
      <c r="J104" s="131">
        <f>+J78/'GAAP Income Statement'!J37</f>
        <v>3.2602031516677989E-2</v>
      </c>
      <c r="K104" s="117"/>
      <c r="L104" s="131">
        <f>+L78/'GAAP Income Statement'!L37</f>
        <v>1.2743847007114202E-2</v>
      </c>
      <c r="M104" s="117"/>
      <c r="N104" s="131">
        <f>+N78/'GAAP Income Statement'!N37</f>
        <v>5.3502430775734515E-2</v>
      </c>
      <c r="O104" s="64"/>
      <c r="P104" s="126">
        <f>+P78/'GAAP Income Statement'!P37</f>
        <v>0.10914788638485132</v>
      </c>
      <c r="Q104" s="64"/>
      <c r="R104" s="131">
        <f>+R78/'GAAP Income Statement'!R37</f>
        <v>3.4462132670238496E-2</v>
      </c>
      <c r="S104" s="117"/>
      <c r="T104" s="131">
        <f>+T78/'GAAP Income Statement'!T37</f>
        <v>1.6321319507944996E-2</v>
      </c>
      <c r="U104" s="117"/>
      <c r="V104" s="131">
        <f>+V78/'GAAP Income Statement'!V37</f>
        <v>2.394311570782159E-2</v>
      </c>
      <c r="W104" s="117"/>
      <c r="X104" s="131">
        <f>+X78/'GAAP Income Statement'!X37</f>
        <v>1.825690067376657E-3</v>
      </c>
      <c r="Y104" s="64"/>
      <c r="Z104" s="126">
        <f>+Z78/'GAAP Income Statement'!Z37</f>
        <v>7.6828259145605649E-2</v>
      </c>
      <c r="AB104" s="131">
        <f>+AB78/'GAAP Income Statement'!AB37</f>
        <v>1.0573713765100613E-2</v>
      </c>
    </row>
    <row r="105" spans="1:28" s="85" customFormat="1" ht="12.75" customHeight="1" x14ac:dyDescent="0.2">
      <c r="A105" s="101" t="s">
        <v>103</v>
      </c>
      <c r="B105" s="126">
        <f>+B79/'GAAP Income Statement'!B37</f>
        <v>0</v>
      </c>
      <c r="C105" s="64"/>
      <c r="D105" s="126">
        <f>+D79/'GAAP Income Statement'!D37</f>
        <v>0</v>
      </c>
      <c r="E105" s="64"/>
      <c r="F105" s="126">
        <f>+F79/'GAAP Income Statement'!F37</f>
        <v>0</v>
      </c>
      <c r="G105" s="64"/>
      <c r="H105" s="131">
        <f>+H79/'GAAP Income Statement'!H37</f>
        <v>0</v>
      </c>
      <c r="I105" s="117"/>
      <c r="J105" s="131">
        <f>+J79/'GAAP Income Statement'!J37</f>
        <v>0</v>
      </c>
      <c r="K105" s="117"/>
      <c r="L105" s="131">
        <f>+L79/'GAAP Income Statement'!L37</f>
        <v>0</v>
      </c>
      <c r="M105" s="117"/>
      <c r="N105" s="131">
        <f>+N79/'GAAP Income Statement'!N37</f>
        <v>0</v>
      </c>
      <c r="O105" s="64"/>
      <c r="P105" s="126">
        <f>+P79/'GAAP Income Statement'!P37</f>
        <v>0</v>
      </c>
      <c r="Q105" s="64"/>
      <c r="R105" s="131">
        <f>+R79/'GAAP Income Statement'!R37</f>
        <v>1.4389841660471515E-2</v>
      </c>
      <c r="S105" s="117"/>
      <c r="T105" s="131">
        <f>+T79/'GAAP Income Statement'!T37</f>
        <v>1.4777177757457603E-2</v>
      </c>
      <c r="U105" s="117"/>
      <c r="V105" s="131">
        <f>+V79/'GAAP Income Statement'!V37</f>
        <v>1.7194570135746608E-2</v>
      </c>
      <c r="W105" s="117"/>
      <c r="X105" s="131">
        <f>+X79/'GAAP Income Statement'!X37</f>
        <v>0.58925450988915451</v>
      </c>
      <c r="Y105" s="64"/>
      <c r="Z105" s="126">
        <f>+Z79/'GAAP Income Statement'!Z37</f>
        <v>0.63071923594110946</v>
      </c>
      <c r="AB105" s="131">
        <f>+AB79/'GAAP Income Statement'!AB37</f>
        <v>0</v>
      </c>
    </row>
    <row r="106" spans="1:28" s="85" customFormat="1" ht="12.75" customHeight="1" x14ac:dyDescent="0.2">
      <c r="A106" s="101" t="s">
        <v>104</v>
      </c>
      <c r="B106" s="126">
        <f>+B80/'GAAP Income Statement'!B37</f>
        <v>0</v>
      </c>
      <c r="C106" s="64"/>
      <c r="D106" s="126">
        <f>+D80/'GAAP Income Statement'!D37</f>
        <v>0</v>
      </c>
      <c r="E106" s="64"/>
      <c r="F106" s="126">
        <f>+F80/'GAAP Income Statement'!F37</f>
        <v>0</v>
      </c>
      <c r="G106" s="64"/>
      <c r="H106" s="131">
        <f>+H80/'GAAP Income Statement'!H37</f>
        <v>0</v>
      </c>
      <c r="I106" s="117"/>
      <c r="J106" s="131">
        <f>+J80/'GAAP Income Statement'!J37</f>
        <v>0</v>
      </c>
      <c r="K106" s="117"/>
      <c r="L106" s="131">
        <f>+L80/'GAAP Income Statement'!L37</f>
        <v>0</v>
      </c>
      <c r="M106" s="117"/>
      <c r="N106" s="131">
        <f>+N80/'GAAP Income Statement'!N37</f>
        <v>0</v>
      </c>
      <c r="O106" s="64"/>
      <c r="P106" s="126">
        <f>+P80/'GAAP Income Statement'!P37</f>
        <v>0</v>
      </c>
      <c r="Q106" s="64"/>
      <c r="R106" s="131">
        <f>+R80/'GAAP Income Statement'!R37</f>
        <v>0</v>
      </c>
      <c r="S106" s="117"/>
      <c r="T106" s="131">
        <f>+T80/'GAAP Income Statement'!T37</f>
        <v>0</v>
      </c>
      <c r="U106" s="117"/>
      <c r="V106" s="131">
        <f>+V80/'GAAP Income Statement'!V37</f>
        <v>0.11740573152337858</v>
      </c>
      <c r="W106" s="117"/>
      <c r="X106" s="131">
        <f>+X80/'GAAP Income Statement'!X37</f>
        <v>0.12640730276026949</v>
      </c>
      <c r="Y106" s="64"/>
      <c r="Z106" s="126">
        <f>+Z80/'GAAP Income Statement'!Z37</f>
        <v>0.24275074992242182</v>
      </c>
      <c r="AB106" s="131">
        <f>+AB80/'GAAP Income Statement'!AB37</f>
        <v>0</v>
      </c>
    </row>
    <row r="107" spans="1:28" s="85" customFormat="1" ht="12.75" customHeight="1" x14ac:dyDescent="0.2">
      <c r="A107" s="111" t="s">
        <v>59</v>
      </c>
      <c r="B107" s="126">
        <f>+B81/'GAAP Income Statement'!B37</f>
        <v>0</v>
      </c>
      <c r="C107" s="64"/>
      <c r="D107" s="126">
        <f>+D81/'GAAP Income Statement'!D37</f>
        <v>0.20999957878775116</v>
      </c>
      <c r="E107" s="64"/>
      <c r="F107" s="126">
        <f>+F81/'GAAP Income Statement'!F37</f>
        <v>0.4305262289673375</v>
      </c>
      <c r="G107" s="64"/>
      <c r="H107" s="131">
        <f>+H81/'GAAP Income Statement'!H37</f>
        <v>8.8109000825763832E-3</v>
      </c>
      <c r="I107" s="117"/>
      <c r="J107" s="131">
        <f>+J81/'GAAP Income Statement'!J37</f>
        <v>0</v>
      </c>
      <c r="K107" s="117"/>
      <c r="L107" s="131">
        <f>+L81/'GAAP Income Statement'!L37</f>
        <v>4.2868700010842281E-3</v>
      </c>
      <c r="M107" s="117"/>
      <c r="N107" s="131">
        <f>+N81/'GAAP Income Statement'!N37</f>
        <v>0.22680194462058759</v>
      </c>
      <c r="O107" s="64"/>
      <c r="P107" s="126">
        <f>+P81/'GAAP Income Statement'!P37</f>
        <v>0.23674823309774637</v>
      </c>
      <c r="Q107" s="64"/>
      <c r="R107" s="131">
        <f>+R81/'GAAP Income Statement'!R37</f>
        <v>-2.1789843369478838E-3</v>
      </c>
      <c r="S107" s="117"/>
      <c r="T107" s="131">
        <f>+T81/'GAAP Income Statement'!T37</f>
        <v>0.3320077293352427</v>
      </c>
      <c r="U107" s="117"/>
      <c r="V107" s="131">
        <f>+V81/'GAAP Income Statement'!V37</f>
        <v>3.7862529627235506E-2</v>
      </c>
      <c r="W107" s="117"/>
      <c r="X107" s="131">
        <f>+X81/'GAAP Income Statement'!X37</f>
        <v>6.8159095848728535E-3</v>
      </c>
      <c r="Y107" s="64"/>
      <c r="Z107" s="126">
        <f>+Z81/'GAAP Income Statement'!Z37</f>
        <v>0.37417680929559011</v>
      </c>
      <c r="AB107" s="131">
        <f>+AB81/'GAAP Income Statement'!AB37</f>
        <v>0.32541983863479074</v>
      </c>
    </row>
    <row r="108" spans="1:28" s="85" customFormat="1" ht="12.75" customHeight="1" x14ac:dyDescent="0.2">
      <c r="A108" s="101" t="s">
        <v>111</v>
      </c>
      <c r="B108" s="126">
        <f>+B82/'GAAP Income Statement'!B37</f>
        <v>0.27867145006365007</v>
      </c>
      <c r="C108" s="64"/>
      <c r="D108" s="126">
        <f>+D82/'GAAP Income Statement'!D37</f>
        <v>0.30430057706078095</v>
      </c>
      <c r="E108" s="64"/>
      <c r="F108" s="126">
        <f>+F82/'GAAP Income Statement'!F37</f>
        <v>0.37175849554602447</v>
      </c>
      <c r="G108" s="64"/>
      <c r="H108" s="131">
        <f>+H82/'GAAP Income Statement'!H37</f>
        <v>0.10145334434351776</v>
      </c>
      <c r="I108" s="117"/>
      <c r="J108" s="131">
        <f>+J82/'GAAP Income Statement'!J37</f>
        <v>0.10266947256789674</v>
      </c>
      <c r="K108" s="117"/>
      <c r="L108" s="131">
        <f>+L82/'GAAP Income Statement'!L37</f>
        <v>0.10352707650478311</v>
      </c>
      <c r="M108" s="117"/>
      <c r="N108" s="131">
        <f>+N82/'GAAP Income Statement'!N37</f>
        <v>0.11116465863453814</v>
      </c>
      <c r="O108" s="64"/>
      <c r="P108" s="126">
        <f>+P82/'GAAP Income Statement'!P37</f>
        <v>0.41871416188825172</v>
      </c>
      <c r="Q108" s="64"/>
      <c r="R108" s="131">
        <f>+R82/'GAAP Income Statement'!R37</f>
        <v>0.1211686192075333</v>
      </c>
      <c r="S108" s="117"/>
      <c r="T108" s="131">
        <f>+T82/'GAAP Income Statement'!T37</f>
        <v>0.11979606977105296</v>
      </c>
      <c r="U108" s="117"/>
      <c r="V108" s="131">
        <f>+V82/'GAAP Income Statement'!V37</f>
        <v>0.12119801766860591</v>
      </c>
      <c r="W108" s="117"/>
      <c r="X108" s="131">
        <f>+X82/'GAAP Income Statement'!X37</f>
        <v>0.11651380134753314</v>
      </c>
      <c r="Y108" s="64"/>
      <c r="Z108" s="126">
        <f>+Z82/'GAAP Income Statement'!Z37</f>
        <v>0.47866600006895843</v>
      </c>
      <c r="AB108" s="131">
        <f>+AB82/'GAAP Income Statement'!AB37</f>
        <v>0.11806291666301653</v>
      </c>
    </row>
    <row r="109" spans="1:28" s="85" customFormat="1" ht="12.75" customHeight="1" x14ac:dyDescent="0.2">
      <c r="A109" s="101" t="s">
        <v>112</v>
      </c>
      <c r="B109" s="126">
        <f>+B83/'GAAP Income Statement'!B37</f>
        <v>4.2215682708681201E-2</v>
      </c>
      <c r="C109" s="64"/>
      <c r="D109" s="126">
        <f>+D83/'GAAP Income Statement'!D37</f>
        <v>6.410850427530433E-3</v>
      </c>
      <c r="E109" s="64"/>
      <c r="F109" s="126">
        <f>+F83/'GAAP Income Statement'!F37</f>
        <v>-4.7154404486968005E-2</v>
      </c>
      <c r="G109" s="64"/>
      <c r="H109" s="131">
        <f>+H83/'GAAP Income Statement'!H37</f>
        <v>0</v>
      </c>
      <c r="I109" s="117"/>
      <c r="J109" s="131">
        <f>+J83/'GAAP Income Statement'!J37</f>
        <v>0</v>
      </c>
      <c r="K109" s="117"/>
      <c r="L109" s="131">
        <f>+L83/'GAAP Income Statement'!L37</f>
        <v>0</v>
      </c>
      <c r="M109" s="117"/>
      <c r="N109" s="131">
        <f>+N83/'GAAP Income Statement'!N37</f>
        <v>0</v>
      </c>
      <c r="O109" s="64"/>
      <c r="P109" s="126">
        <f>+P83/'GAAP Income Statement'!P37</f>
        <v>0</v>
      </c>
      <c r="Q109" s="64"/>
      <c r="R109" s="131">
        <f>+R83/'GAAP Income Statement'!R37</f>
        <v>0</v>
      </c>
      <c r="S109" s="117"/>
      <c r="T109" s="131">
        <f>+T83/'GAAP Income Statement'!T37</f>
        <v>0</v>
      </c>
      <c r="U109" s="117"/>
      <c r="V109" s="131">
        <f>+V83/'GAAP Income Statement'!V37</f>
        <v>0</v>
      </c>
      <c r="W109" s="117"/>
      <c r="X109" s="131">
        <f>+X83/'GAAP Income Statement'!X37</f>
        <v>0</v>
      </c>
      <c r="Y109" s="64"/>
      <c r="Z109" s="126">
        <f>+Z83/'GAAP Income Statement'!Z37</f>
        <v>0</v>
      </c>
      <c r="AB109" s="131">
        <f>+AB83/'GAAP Income Statement'!AB37</f>
        <v>2.0665609587301032E-2</v>
      </c>
    </row>
    <row r="110" spans="1:28" s="86" customFormat="1" ht="12.75" customHeight="1" x14ac:dyDescent="0.2">
      <c r="A110" s="101" t="s">
        <v>113</v>
      </c>
      <c r="B110" s="132">
        <f>+B84/'GAAP Income Statement'!B37</f>
        <v>-0.23018169193380394</v>
      </c>
      <c r="C110" s="64"/>
      <c r="D110" s="132">
        <f>+D84/'GAAP Income Statement'!D37</f>
        <v>0.83254285834632069</v>
      </c>
      <c r="E110" s="64"/>
      <c r="F110" s="132">
        <f>+F84/'GAAP Income Statement'!F37</f>
        <v>-0.64198284394589233</v>
      </c>
      <c r="G110" s="64"/>
      <c r="H110" s="125">
        <f>+H84/'GAAP Income Statement'!H37</f>
        <v>-5.6630883567299749E-2</v>
      </c>
      <c r="I110" s="117"/>
      <c r="J110" s="125">
        <f>+J84/'GAAP Income Statement'!J37</f>
        <v>-0.12389600490480374</v>
      </c>
      <c r="K110" s="117"/>
      <c r="L110" s="125">
        <f>+L84/'GAAP Income Statement'!L37</f>
        <v>-1.0633772862611654E-2</v>
      </c>
      <c r="M110" s="117"/>
      <c r="N110" s="125">
        <f>+N84/'GAAP Income Statement'!N37</f>
        <v>-0.17281758613400972</v>
      </c>
      <c r="O110" s="64"/>
      <c r="P110" s="132">
        <f>+P84/'GAAP Income Statement'!P37</f>
        <v>-0.36277336978263769</v>
      </c>
      <c r="Q110" s="64"/>
      <c r="R110" s="125">
        <f>+R84/'GAAP Income Statement'!R37</f>
        <v>-2.9787997641569895E-2</v>
      </c>
      <c r="S110" s="117"/>
      <c r="T110" s="125">
        <f>+T84/'GAAP Income Statement'!T37</f>
        <v>-0.11867462604164869</v>
      </c>
      <c r="U110" s="117"/>
      <c r="V110" s="125">
        <f>+V84/'GAAP Income Statement'!V37</f>
        <v>-6.2995044171514761E-2</v>
      </c>
      <c r="W110" s="117"/>
      <c r="X110" s="125">
        <f>+X84/'GAAP Income Statement'!X37</f>
        <v>-0.23070636818083023</v>
      </c>
      <c r="Y110" s="64"/>
      <c r="Z110" s="132">
        <f>+Z84/'GAAP Income Statement'!Z37</f>
        <v>-0.4403682377685067</v>
      </c>
      <c r="AB110" s="125">
        <f>+AB84/'GAAP Income Statement'!AB37</f>
        <v>4.3188408336326443E-2</v>
      </c>
    </row>
    <row r="111" spans="1:28" s="86" customFormat="1" ht="12.75" customHeight="1" x14ac:dyDescent="0.2">
      <c r="A111" s="120" t="s">
        <v>118</v>
      </c>
      <c r="B111" s="133">
        <f>+'Non-GAAP Income Statement'!B35</f>
        <v>1.26</v>
      </c>
      <c r="C111" s="64"/>
      <c r="D111" s="133">
        <f>+'Non-GAAP Income Statement'!D35</f>
        <v>1.51</v>
      </c>
      <c r="E111" s="64"/>
      <c r="F111" s="133">
        <f>+'Non-GAAP Income Statement'!F35</f>
        <v>1.81</v>
      </c>
      <c r="G111" s="64"/>
      <c r="H111" s="127">
        <f>+'Non-GAAP Income Statement'!H35</f>
        <v>0.5</v>
      </c>
      <c r="I111" s="117"/>
      <c r="J111" s="127">
        <f>+'Non-GAAP Income Statement'!J35</f>
        <v>0.48</v>
      </c>
      <c r="K111" s="117"/>
      <c r="L111" s="127">
        <f>+'Non-GAAP Income Statement'!L35</f>
        <v>0.53</v>
      </c>
      <c r="M111" s="117"/>
      <c r="N111" s="127">
        <f>+'Non-GAAP Income Statement'!N35</f>
        <v>0.67</v>
      </c>
      <c r="O111" s="64"/>
      <c r="P111" s="133">
        <f>+'Non-GAAP Income Statement'!P35</f>
        <v>2.17</v>
      </c>
      <c r="Q111" s="64"/>
      <c r="R111" s="127">
        <f>+'Non-GAAP Income Statement'!R35</f>
        <v>0.5</v>
      </c>
      <c r="S111" s="117"/>
      <c r="T111" s="127">
        <f>+'Non-GAAP Income Statement'!T35</f>
        <v>0.53</v>
      </c>
      <c r="U111" s="117"/>
      <c r="V111" s="127">
        <f>+'Non-GAAP Income Statement'!V35</f>
        <v>0.53</v>
      </c>
      <c r="W111" s="117"/>
      <c r="X111" s="127">
        <f>+'Non-GAAP Income Statement'!X35</f>
        <v>0.67</v>
      </c>
      <c r="Y111" s="64"/>
      <c r="Z111" s="133">
        <f>+'Non-GAAP Income Statement'!Z35</f>
        <v>2.23</v>
      </c>
      <c r="AB111" s="127">
        <f>+'Non-GAAP Income Statement'!AB35</f>
        <v>0.51</v>
      </c>
    </row>
    <row r="112" spans="1:28" ht="12.75" customHeight="1" thickBot="1" x14ac:dyDescent="0.25">
      <c r="B112" s="134"/>
      <c r="C112" s="64"/>
      <c r="D112" s="134"/>
      <c r="E112" s="64"/>
      <c r="F112" s="134"/>
      <c r="G112" s="64"/>
      <c r="H112" s="84"/>
      <c r="I112" s="117"/>
      <c r="J112" s="84"/>
      <c r="K112" s="117"/>
      <c r="L112" s="84"/>
      <c r="M112" s="117"/>
      <c r="N112" s="84"/>
      <c r="O112" s="64"/>
      <c r="P112" s="134"/>
      <c r="Q112" s="64"/>
      <c r="R112" s="84"/>
      <c r="S112" s="84"/>
      <c r="T112" s="84"/>
      <c r="U112" s="117"/>
      <c r="V112" s="84"/>
      <c r="X112" s="84"/>
      <c r="Y112" s="64"/>
      <c r="Z112" s="134"/>
    </row>
    <row r="113" spans="3:25" ht="12.75" customHeight="1" x14ac:dyDescent="0.2">
      <c r="C113" s="137"/>
      <c r="E113" s="137"/>
      <c r="G113" s="137"/>
      <c r="I113" s="135"/>
      <c r="K113" s="135"/>
      <c r="M113" s="136"/>
      <c r="O113" s="137"/>
      <c r="Q113" s="137"/>
      <c r="U113" s="135"/>
      <c r="Y113" s="137"/>
    </row>
    <row r="114" spans="3:25" ht="12.75" customHeight="1" x14ac:dyDescent="0.2">
      <c r="C114" s="137"/>
      <c r="E114" s="137"/>
      <c r="G114" s="137"/>
      <c r="I114" s="135"/>
      <c r="K114" s="135"/>
      <c r="M114" s="136"/>
      <c r="O114" s="137"/>
      <c r="Q114" s="137"/>
      <c r="U114" s="135"/>
      <c r="Y114" s="137"/>
    </row>
    <row r="115" spans="3:25" ht="12.75" customHeight="1" x14ac:dyDescent="0.2">
      <c r="C115" s="137"/>
      <c r="E115" s="137"/>
      <c r="G115" s="137"/>
      <c r="I115" s="135"/>
      <c r="K115" s="135"/>
      <c r="O115" s="137"/>
      <c r="U115" s="135"/>
    </row>
    <row r="116" spans="3:25" ht="12.75" customHeight="1" x14ac:dyDescent="0.2">
      <c r="C116" s="137"/>
      <c r="E116" s="137"/>
      <c r="G116" s="137"/>
      <c r="I116" s="135"/>
    </row>
    <row r="117" spans="3:25" ht="12.75" customHeight="1" x14ac:dyDescent="0.2">
      <c r="I117" s="135"/>
    </row>
    <row r="118" spans="3:25" ht="12.75" customHeight="1" x14ac:dyDescent="0.2"/>
  </sheetData>
  <mergeCells count="4">
    <mergeCell ref="R3:Z3"/>
    <mergeCell ref="H5:N5"/>
    <mergeCell ref="R5:X5"/>
    <mergeCell ref="H3:P3"/>
  </mergeCells>
  <printOptions horizontalCentered="1"/>
  <pageMargins left="0.7" right="0.7" top="1" bottom="0.75" header="0.3" footer="0.3"/>
  <pageSetup paperSize="3" scale="53" orientation="portrait" r:id="rId1"/>
  <headerFooter alignWithMargins="0">
    <oddHeader>&amp;L&amp;G</oddHeader>
    <oddFooter>&amp;C&amp;8PTC Investor Relations
Tel: (781) 370 6359</oddFooter>
  </headerFooter>
  <rowBreaks count="1" manualBreakCount="1">
    <brk id="51" max="27"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B61"/>
  <sheetViews>
    <sheetView tabSelected="1" zoomScale="85" zoomScaleNormal="85" workbookViewId="0">
      <pane xSplit="1" ySplit="6" topLeftCell="B7" activePane="bottomRight" state="frozen"/>
      <selection activeCell="AB20" sqref="AB20"/>
      <selection pane="topRight" activeCell="AB20" sqref="AB20"/>
      <selection pane="bottomLeft" activeCell="AB20" sqref="AB20"/>
      <selection pane="bottomRight" activeCell="V18" sqref="V18"/>
    </sheetView>
  </sheetViews>
  <sheetFormatPr defaultColWidth="9.140625" defaultRowHeight="12.75" x14ac:dyDescent="0.2"/>
  <cols>
    <col min="1" max="1" width="68.85546875" style="84" bestFit="1" customWidth="1"/>
    <col min="2" max="2" width="11.7109375" style="83" customWidth="1"/>
    <col min="3" max="3" width="1.140625" style="83" customWidth="1"/>
    <col min="4" max="4" width="11.7109375" style="83" customWidth="1"/>
    <col min="5" max="5" width="1.140625" style="83" customWidth="1"/>
    <col min="6" max="6" width="11.7109375" style="83" customWidth="1"/>
    <col min="7" max="7" width="1.140625" style="83" customWidth="1"/>
    <col min="8" max="8" width="10" style="83" bestFit="1" customWidth="1"/>
    <col min="9" max="9" width="1.140625" style="83" customWidth="1"/>
    <col min="10" max="10" width="10.140625" style="83" bestFit="1" customWidth="1"/>
    <col min="11" max="11" width="1.140625" style="83" customWidth="1"/>
    <col min="12" max="12" width="10" style="83" bestFit="1" customWidth="1"/>
    <col min="13" max="13" width="1.140625" style="83" customWidth="1"/>
    <col min="14" max="14" width="10" style="83" bestFit="1" customWidth="1"/>
    <col min="15" max="15" width="1.140625" style="83" customWidth="1"/>
    <col min="16" max="16" width="11.7109375" style="83" customWidth="1"/>
    <col min="17" max="17" width="1.140625" style="83" customWidth="1"/>
    <col min="18" max="18" width="9.7109375" style="83" bestFit="1" customWidth="1"/>
    <col min="19" max="19" width="1.140625" style="83" customWidth="1"/>
    <col min="20" max="20" width="9.7109375" style="83" bestFit="1" customWidth="1"/>
    <col min="21" max="21" width="1.140625" style="83" customWidth="1"/>
    <col min="22" max="22" width="10" style="83" bestFit="1" customWidth="1"/>
    <col min="23" max="23" width="1.140625" style="83" customWidth="1"/>
    <col min="24" max="24" width="9.85546875" style="83" bestFit="1" customWidth="1"/>
    <col min="25" max="25" width="1.140625" style="83" customWidth="1"/>
    <col min="26" max="26" width="11.7109375" style="83" customWidth="1"/>
    <col min="27" max="27" width="1" style="83" customWidth="1"/>
    <col min="28" max="28" width="10" style="83" bestFit="1" customWidth="1"/>
    <col min="29" max="16384" width="9.140625" style="83"/>
  </cols>
  <sheetData>
    <row r="1" spans="1:28" ht="12.75" customHeight="1" x14ac:dyDescent="0.2">
      <c r="A1" s="81" t="s">
        <v>119</v>
      </c>
      <c r="B1" s="82"/>
      <c r="C1" s="82"/>
      <c r="D1" s="82"/>
      <c r="E1" s="82"/>
      <c r="F1" s="82"/>
      <c r="G1" s="82"/>
      <c r="H1" s="82"/>
      <c r="I1" s="82"/>
      <c r="J1" s="82"/>
      <c r="K1" s="82"/>
      <c r="L1" s="82"/>
      <c r="M1" s="82"/>
      <c r="N1" s="82"/>
      <c r="O1" s="82"/>
      <c r="P1" s="82"/>
      <c r="Q1" s="82"/>
      <c r="R1" s="82"/>
      <c r="S1" s="82"/>
      <c r="T1" s="82"/>
      <c r="U1" s="82"/>
      <c r="V1" s="82"/>
      <c r="W1" s="82"/>
    </row>
    <row r="2" spans="1:28" ht="12.75" customHeight="1" thickBot="1" x14ac:dyDescent="0.25"/>
    <row r="3" spans="1:28" s="84" customFormat="1" ht="12.75" customHeight="1" thickBot="1" x14ac:dyDescent="0.25">
      <c r="B3" s="240" t="s">
        <v>6</v>
      </c>
      <c r="C3" s="83"/>
      <c r="D3" s="240" t="s">
        <v>5</v>
      </c>
      <c r="E3" s="83"/>
      <c r="F3" s="240" t="s">
        <v>4</v>
      </c>
      <c r="H3" s="266" t="s">
        <v>3</v>
      </c>
      <c r="I3" s="267"/>
      <c r="J3" s="267"/>
      <c r="K3" s="267"/>
      <c r="L3" s="267"/>
      <c r="M3" s="267"/>
      <c r="N3" s="267"/>
      <c r="O3" s="267"/>
      <c r="P3" s="268"/>
      <c r="R3" s="266" t="s">
        <v>2</v>
      </c>
      <c r="S3" s="267"/>
      <c r="T3" s="267"/>
      <c r="U3" s="267"/>
      <c r="V3" s="267"/>
      <c r="W3" s="267"/>
      <c r="X3" s="267"/>
      <c r="Y3" s="267"/>
      <c r="Z3" s="268"/>
      <c r="AB3" s="240" t="s">
        <v>149</v>
      </c>
    </row>
    <row r="4" spans="1:28" s="84" customFormat="1" ht="12.75" customHeight="1" thickBot="1" x14ac:dyDescent="0.25"/>
    <row r="5" spans="1:28" s="84" customFormat="1" ht="12.75" customHeight="1" x14ac:dyDescent="0.2">
      <c r="B5" s="87" t="s">
        <v>1</v>
      </c>
      <c r="D5" s="87" t="s">
        <v>1</v>
      </c>
      <c r="F5" s="87" t="s">
        <v>1</v>
      </c>
      <c r="H5" s="269" t="s">
        <v>0</v>
      </c>
      <c r="I5" s="269"/>
      <c r="J5" s="269"/>
      <c r="K5" s="269"/>
      <c r="L5" s="269"/>
      <c r="M5" s="269"/>
      <c r="N5" s="269"/>
      <c r="P5" s="87" t="s">
        <v>1</v>
      </c>
      <c r="R5" s="269" t="s">
        <v>45</v>
      </c>
      <c r="S5" s="269"/>
      <c r="T5" s="269"/>
      <c r="U5" s="269"/>
      <c r="V5" s="269"/>
      <c r="W5" s="269"/>
      <c r="X5" s="269"/>
      <c r="Z5" s="87" t="s">
        <v>1</v>
      </c>
      <c r="AB5" s="163" t="s">
        <v>150</v>
      </c>
    </row>
    <row r="6" spans="1:28" s="90" customFormat="1" ht="12.75" customHeight="1" x14ac:dyDescent="0.2">
      <c r="A6" s="88"/>
      <c r="B6" s="91">
        <v>40816</v>
      </c>
      <c r="D6" s="91">
        <v>41182</v>
      </c>
      <c r="F6" s="91">
        <v>41547</v>
      </c>
      <c r="H6" s="89">
        <v>41636</v>
      </c>
      <c r="J6" s="89">
        <v>41727</v>
      </c>
      <c r="L6" s="89">
        <v>41818</v>
      </c>
      <c r="N6" s="89">
        <v>41912</v>
      </c>
      <c r="P6" s="91">
        <v>41912</v>
      </c>
      <c r="R6" s="89">
        <v>42007</v>
      </c>
      <c r="S6" s="241"/>
      <c r="T6" s="89">
        <v>42098</v>
      </c>
      <c r="V6" s="89">
        <v>42189</v>
      </c>
      <c r="W6" s="89"/>
      <c r="X6" s="89">
        <v>41912</v>
      </c>
      <c r="Z6" s="91">
        <v>41912</v>
      </c>
      <c r="AB6" s="89">
        <v>42371</v>
      </c>
    </row>
    <row r="7" spans="1:28" s="244" customFormat="1" ht="12.75" customHeight="1" x14ac:dyDescent="0.2">
      <c r="A7" s="242" t="s">
        <v>7</v>
      </c>
      <c r="B7" s="96"/>
      <c r="C7" s="138"/>
      <c r="D7" s="96"/>
      <c r="E7" s="138"/>
      <c r="F7" s="96"/>
      <c r="G7" s="138"/>
      <c r="H7" s="94"/>
      <c r="I7" s="138"/>
      <c r="J7" s="94"/>
      <c r="K7" s="138"/>
      <c r="L7" s="138"/>
      <c r="M7" s="138"/>
      <c r="N7" s="138"/>
      <c r="O7" s="138"/>
      <c r="P7" s="96"/>
      <c r="Q7" s="138"/>
      <c r="R7" s="94"/>
      <c r="S7" s="243"/>
      <c r="T7" s="138"/>
      <c r="U7" s="138"/>
      <c r="V7" s="138"/>
      <c r="W7" s="138"/>
      <c r="X7" s="138"/>
      <c r="Y7" s="138"/>
      <c r="Z7" s="96"/>
      <c r="AB7" s="94"/>
    </row>
    <row r="8" spans="1:28" ht="12.75" customHeight="1" x14ac:dyDescent="0.2">
      <c r="A8" s="112" t="s">
        <v>120</v>
      </c>
      <c r="B8" s="113"/>
      <c r="C8" s="84"/>
      <c r="D8" s="113"/>
      <c r="E8" s="84"/>
      <c r="F8" s="113"/>
      <c r="G8" s="84"/>
      <c r="H8" s="245"/>
      <c r="I8" s="84"/>
      <c r="J8" s="84"/>
      <c r="K8" s="84"/>
      <c r="L8" s="84"/>
      <c r="M8" s="84"/>
      <c r="N8" s="84"/>
      <c r="O8" s="84"/>
      <c r="P8" s="113"/>
      <c r="Q8" s="84"/>
      <c r="R8" s="84"/>
      <c r="S8" s="86"/>
      <c r="T8" s="84"/>
      <c r="U8" s="84"/>
      <c r="V8" s="84"/>
      <c r="W8" s="84"/>
      <c r="X8" s="84"/>
      <c r="Y8" s="84"/>
      <c r="Z8" s="113"/>
      <c r="AB8" s="84"/>
    </row>
    <row r="9" spans="1:28" ht="12.75" customHeight="1" x14ac:dyDescent="0.2">
      <c r="A9" s="101" t="s">
        <v>65</v>
      </c>
      <c r="B9" s="246">
        <v>85.424000000000007</v>
      </c>
      <c r="C9" s="84"/>
      <c r="D9" s="246">
        <v>-35.397999999999996</v>
      </c>
      <c r="E9" s="84"/>
      <c r="F9" s="246">
        <v>143.76900000000001</v>
      </c>
      <c r="G9" s="139"/>
      <c r="H9" s="6">
        <v>39.656999999999996</v>
      </c>
      <c r="I9" s="84"/>
      <c r="J9" s="6">
        <v>43.756</v>
      </c>
      <c r="K9" s="84"/>
      <c r="L9" s="6">
        <v>38.026000000000003</v>
      </c>
      <c r="M9" s="84"/>
      <c r="N9" s="6">
        <v>38.755000000000003</v>
      </c>
      <c r="O9" s="84"/>
      <c r="P9" s="246">
        <f>SUM(H9,J9,L9,N9)</f>
        <v>160.19399999999999</v>
      </c>
      <c r="Q9" s="139"/>
      <c r="R9" s="6">
        <v>30.283999999999999</v>
      </c>
      <c r="S9" s="84"/>
      <c r="T9" s="6">
        <v>5.3920000000000003</v>
      </c>
      <c r="U9" s="84"/>
      <c r="V9" s="6">
        <v>17.434999999999999</v>
      </c>
      <c r="W9" s="84"/>
      <c r="X9" s="6">
        <v>-5.5529999999999831</v>
      </c>
      <c r="Y9" s="247"/>
      <c r="Z9" s="246">
        <f>SUM(R9,T9,V9,X9)-0.001</f>
        <v>47.557000000000023</v>
      </c>
      <c r="AB9" s="6">
        <v>-23.891999999999999</v>
      </c>
    </row>
    <row r="10" spans="1:28" s="249" customFormat="1" ht="12.75" customHeight="1" x14ac:dyDescent="0.2">
      <c r="A10" s="101" t="s">
        <v>121</v>
      </c>
      <c r="B10" s="248">
        <v>45.402000000000001</v>
      </c>
      <c r="C10" s="84"/>
      <c r="D10" s="248">
        <v>51.305</v>
      </c>
      <c r="E10" s="84"/>
      <c r="F10" s="248">
        <v>48.787000000000006</v>
      </c>
      <c r="G10" s="139"/>
      <c r="H10" s="21">
        <v>12.763999999999999</v>
      </c>
      <c r="I10" s="84"/>
      <c r="J10" s="21">
        <v>12.566000000000001</v>
      </c>
      <c r="K10" s="84"/>
      <c r="L10" s="21">
        <v>12.532</v>
      </c>
      <c r="M10" s="84"/>
      <c r="N10" s="21">
        <v>13.026999999999999</v>
      </c>
      <c r="O10" s="84"/>
      <c r="P10" s="248">
        <f>SUM(H10,J10,L10,N10)</f>
        <v>50.888999999999996</v>
      </c>
      <c r="Q10" s="139"/>
      <c r="R10" s="21">
        <v>11.242000000000001</v>
      </c>
      <c r="S10" s="84"/>
      <c r="T10" s="21">
        <v>12.821999999999999</v>
      </c>
      <c r="U10" s="84"/>
      <c r="V10" s="21">
        <v>14.071</v>
      </c>
      <c r="W10" s="84"/>
      <c r="X10" s="21">
        <v>12.047000000000001</v>
      </c>
      <c r="Y10" s="247"/>
      <c r="Z10" s="248">
        <f>SUM(R10,T10,V10,X10)</f>
        <v>50.182000000000002</v>
      </c>
      <c r="AB10" s="21">
        <v>23.189</v>
      </c>
    </row>
    <row r="11" spans="1:28" ht="12.75" customHeight="1" x14ac:dyDescent="0.2">
      <c r="A11" s="101" t="s">
        <v>122</v>
      </c>
      <c r="B11" s="248">
        <v>62.393999999999998</v>
      </c>
      <c r="C11" s="84"/>
      <c r="D11" s="248">
        <v>66.471000000000004</v>
      </c>
      <c r="E11" s="84"/>
      <c r="F11" s="248">
        <v>76.551000000000002</v>
      </c>
      <c r="G11" s="139"/>
      <c r="H11" s="21">
        <v>19.100000000000001</v>
      </c>
      <c r="I11" s="84"/>
      <c r="J11" s="21">
        <v>19.172999999999998</v>
      </c>
      <c r="K11" s="84"/>
      <c r="L11" s="21">
        <v>19.026</v>
      </c>
      <c r="M11" s="84"/>
      <c r="N11" s="21">
        <v>20.007999999999999</v>
      </c>
      <c r="O11" s="84"/>
      <c r="P11" s="248">
        <f>SUM(H11,J11,L11,N11)</f>
        <v>77.306999999999988</v>
      </c>
      <c r="Q11" s="139"/>
      <c r="R11" s="21">
        <v>21.236999999999998</v>
      </c>
      <c r="S11" s="84"/>
      <c r="T11" s="21">
        <v>20.968</v>
      </c>
      <c r="U11" s="84"/>
      <c r="V11" s="21">
        <v>21.25</v>
      </c>
      <c r="W11" s="84"/>
      <c r="X11" s="21">
        <v>20.978000000000002</v>
      </c>
      <c r="Y11" s="247"/>
      <c r="Z11" s="248">
        <f>SUM(R11,T11,V11,X11)</f>
        <v>84.432999999999993</v>
      </c>
      <c r="AB11" s="21">
        <v>20.613</v>
      </c>
    </row>
    <row r="12" spans="1:28" s="250" customFormat="1" ht="12.75" customHeight="1" x14ac:dyDescent="0.2">
      <c r="A12" s="101" t="s">
        <v>123</v>
      </c>
      <c r="B12" s="248">
        <v>-32.334000000000003</v>
      </c>
      <c r="C12" s="84"/>
      <c r="D12" s="248">
        <v>32.309000000000005</v>
      </c>
      <c r="E12" s="84"/>
      <c r="F12" s="248">
        <v>17.312000000000001</v>
      </c>
      <c r="G12" s="139"/>
      <c r="H12" s="21">
        <v>19.273</v>
      </c>
      <c r="I12" s="84"/>
      <c r="J12" s="21">
        <v>-2.536</v>
      </c>
      <c r="K12" s="84"/>
      <c r="L12" s="21">
        <v>-2.1120000000000001</v>
      </c>
      <c r="M12" s="84"/>
      <c r="N12" s="21">
        <v>-7.0709999999999997</v>
      </c>
      <c r="O12" s="84"/>
      <c r="P12" s="248">
        <f>SUM(H12,J12,L12,N12)</f>
        <v>7.5539999999999985</v>
      </c>
      <c r="Q12" s="139"/>
      <c r="R12" s="21">
        <v>25.8</v>
      </c>
      <c r="S12" s="84"/>
      <c r="T12" s="21">
        <v>-3.089</v>
      </c>
      <c r="U12" s="84"/>
      <c r="V12" s="21">
        <v>22.195</v>
      </c>
      <c r="W12" s="84"/>
      <c r="X12" s="21">
        <v>-15.183</v>
      </c>
      <c r="Y12" s="247"/>
      <c r="Z12" s="248">
        <f>SUM(R12,T12,V12,X12)</f>
        <v>29.723000000000006</v>
      </c>
      <c r="AB12" s="21">
        <v>35.219000000000001</v>
      </c>
    </row>
    <row r="13" spans="1:28" s="250" customFormat="1" ht="12.75" customHeight="1" x14ac:dyDescent="0.2">
      <c r="A13" s="101" t="s">
        <v>124</v>
      </c>
      <c r="B13" s="248">
        <v>-3.8459999999999992</v>
      </c>
      <c r="C13" s="84"/>
      <c r="D13" s="248">
        <v>-7.5730000000000022</v>
      </c>
      <c r="E13" s="84"/>
      <c r="F13" s="248">
        <v>6.208000000000002</v>
      </c>
      <c r="G13" s="139"/>
      <c r="H13" s="21">
        <v>-42.862000000000002</v>
      </c>
      <c r="I13" s="251"/>
      <c r="J13" s="21">
        <v>5.2309999999999999</v>
      </c>
      <c r="K13" s="251"/>
      <c r="L13" s="21">
        <v>9.423</v>
      </c>
      <c r="M13" s="251"/>
      <c r="N13" s="21">
        <v>36.746000000000002</v>
      </c>
      <c r="O13" s="21"/>
      <c r="P13" s="248">
        <f>SUM(H13,J13,L13,N13)</f>
        <v>8.5380000000000038</v>
      </c>
      <c r="Q13" s="139"/>
      <c r="R13" s="21">
        <v>-50.917999999999999</v>
      </c>
      <c r="S13" s="251"/>
      <c r="T13" s="21">
        <v>33.72</v>
      </c>
      <c r="U13" s="251"/>
      <c r="V13" s="21">
        <v>7.1689999999999996</v>
      </c>
      <c r="W13" s="251"/>
      <c r="X13" s="21">
        <f>-30.327+14.54</f>
        <v>-15.787000000000003</v>
      </c>
      <c r="Y13" s="77"/>
      <c r="Z13" s="248">
        <f>SUM(R13,T13,V13,X13)</f>
        <v>-25.816000000000003</v>
      </c>
      <c r="AB13" s="21">
        <v>10.375</v>
      </c>
    </row>
    <row r="14" spans="1:28" s="249" customFormat="1" ht="12.75" customHeight="1" x14ac:dyDescent="0.2">
      <c r="A14" s="101" t="s">
        <v>31</v>
      </c>
      <c r="B14" s="248">
        <v>8.1950000000000038</v>
      </c>
      <c r="C14" s="84"/>
      <c r="D14" s="248">
        <v>14.361999999999995</v>
      </c>
      <c r="E14" s="84"/>
      <c r="F14" s="248">
        <v>6.727000000000011</v>
      </c>
      <c r="G14" s="139"/>
      <c r="H14" s="21">
        <v>-10.827</v>
      </c>
      <c r="I14" s="84"/>
      <c r="J14" s="21">
        <v>40.51</v>
      </c>
      <c r="K14" s="84"/>
      <c r="L14" s="21">
        <v>25.655999999999999</v>
      </c>
      <c r="M14" s="84"/>
      <c r="N14" s="21">
        <v>-30.341000000000001</v>
      </c>
      <c r="O14" s="84"/>
      <c r="P14" s="248">
        <f t="shared" ref="P14:P18" si="0">SUM(H14,J14,L14,N14)</f>
        <v>24.997999999999998</v>
      </c>
      <c r="Q14" s="139"/>
      <c r="R14" s="21">
        <v>-8.7759999999999998</v>
      </c>
      <c r="S14" s="84"/>
      <c r="T14" s="21">
        <v>40.975999999999999</v>
      </c>
      <c r="U14" s="84"/>
      <c r="V14" s="21">
        <v>19.193000000000001</v>
      </c>
      <c r="W14" s="84"/>
      <c r="X14" s="21">
        <v>-42.540999999999997</v>
      </c>
      <c r="Y14" s="247"/>
      <c r="Z14" s="248">
        <f t="shared" ref="Z14:Z17" si="1">SUM(R14,T14,V14,X14)</f>
        <v>8.8520000000000039</v>
      </c>
      <c r="AB14" s="21">
        <v>1.262</v>
      </c>
    </row>
    <row r="15" spans="1:28" s="249" customFormat="1" ht="12.75" customHeight="1" x14ac:dyDescent="0.2">
      <c r="A15" s="101" t="s">
        <v>125</v>
      </c>
      <c r="B15" s="248">
        <v>0</v>
      </c>
      <c r="C15" s="84"/>
      <c r="D15" s="248">
        <v>0</v>
      </c>
      <c r="E15" s="84"/>
      <c r="F15" s="248">
        <v>0</v>
      </c>
      <c r="G15" s="139"/>
      <c r="H15" s="21">
        <v>0</v>
      </c>
      <c r="I15" s="84"/>
      <c r="J15" s="21">
        <v>0</v>
      </c>
      <c r="K15" s="84"/>
      <c r="L15" s="21">
        <v>0</v>
      </c>
      <c r="M15" s="84"/>
      <c r="N15" s="21">
        <v>0</v>
      </c>
      <c r="O15" s="84"/>
      <c r="P15" s="248">
        <f t="shared" si="0"/>
        <v>0</v>
      </c>
      <c r="Q15" s="139"/>
      <c r="R15" s="21">
        <v>0</v>
      </c>
      <c r="S15" s="84"/>
      <c r="T15" s="21">
        <v>0</v>
      </c>
      <c r="U15" s="84"/>
      <c r="V15" s="21">
        <v>0</v>
      </c>
      <c r="W15" s="84"/>
      <c r="X15" s="21">
        <v>66.331999999999994</v>
      </c>
      <c r="Y15" s="247"/>
      <c r="Z15" s="248">
        <f t="shared" si="1"/>
        <v>66.331999999999994</v>
      </c>
      <c r="AB15" s="21">
        <v>0</v>
      </c>
    </row>
    <row r="16" spans="1:28" s="249" customFormat="1" ht="12.75" customHeight="1" x14ac:dyDescent="0.2">
      <c r="A16" s="101" t="s">
        <v>126</v>
      </c>
      <c r="B16" s="248">
        <v>-16.132000000000001</v>
      </c>
      <c r="C16" s="84"/>
      <c r="D16" s="248">
        <v>100.76100000000001</v>
      </c>
      <c r="E16" s="84"/>
      <c r="F16" s="248">
        <v>-54.925000000000004</v>
      </c>
      <c r="G16" s="139"/>
      <c r="H16" s="21">
        <v>7.3929999999999998</v>
      </c>
      <c r="I16" s="84"/>
      <c r="J16" s="21">
        <v>-1.514</v>
      </c>
      <c r="K16" s="84"/>
      <c r="L16" s="21">
        <v>8.6660000000000004</v>
      </c>
      <c r="M16" s="84"/>
      <c r="N16" s="21">
        <v>-15.356999999999999</v>
      </c>
      <c r="O16" s="84"/>
      <c r="P16" s="248">
        <f t="shared" si="0"/>
        <v>-0.81199999999999939</v>
      </c>
      <c r="Q16" s="139"/>
      <c r="R16" s="21">
        <v>-2.9529999999999998</v>
      </c>
      <c r="S16" s="84"/>
      <c r="T16" s="21">
        <v>-13.612</v>
      </c>
      <c r="U16" s="84"/>
      <c r="V16" s="21">
        <v>-9.0429999999999993</v>
      </c>
      <c r="W16" s="84"/>
      <c r="X16" s="21">
        <v>-27.289000000000001</v>
      </c>
      <c r="Y16" s="247"/>
      <c r="Z16" s="248">
        <f t="shared" si="1"/>
        <v>-52.897000000000006</v>
      </c>
      <c r="AB16" s="21">
        <v>-3.355</v>
      </c>
    </row>
    <row r="17" spans="1:28" s="249" customFormat="1" ht="12.75" customHeight="1" x14ac:dyDescent="0.2">
      <c r="A17" s="101" t="s">
        <v>127</v>
      </c>
      <c r="B17" s="248">
        <v>-5.3979999999999997</v>
      </c>
      <c r="C17" s="84"/>
      <c r="D17" s="248">
        <v>-1.3239999999999998</v>
      </c>
      <c r="E17" s="84"/>
      <c r="F17" s="248">
        <v>-0.33400000000000002</v>
      </c>
      <c r="G17" s="139"/>
      <c r="H17" s="21">
        <v>-6.8019999999999996</v>
      </c>
      <c r="I17" s="84"/>
      <c r="J17" s="21">
        <v>-1.29</v>
      </c>
      <c r="K17" s="84"/>
      <c r="L17" s="21">
        <v>-1.484</v>
      </c>
      <c r="M17" s="84"/>
      <c r="N17" s="21">
        <v>-0.85199999999999998</v>
      </c>
      <c r="O17" s="84"/>
      <c r="P17" s="248">
        <f t="shared" si="0"/>
        <v>-10.427999999999999</v>
      </c>
      <c r="Q17" s="139"/>
      <c r="R17" s="21">
        <v>-0.16300000000000001</v>
      </c>
      <c r="S17" s="84"/>
      <c r="T17" s="21">
        <v>0</v>
      </c>
      <c r="U17" s="84"/>
      <c r="V17" s="21">
        <v>0.23400000000000001</v>
      </c>
      <c r="W17" s="84"/>
      <c r="X17" s="21">
        <v>-9.5000000000000001E-2</v>
      </c>
      <c r="Y17" s="247"/>
      <c r="Z17" s="248">
        <f t="shared" si="1"/>
        <v>-2.3999999999999994E-2</v>
      </c>
      <c r="AB17" s="21">
        <v>-5.6000000000000001E-2</v>
      </c>
    </row>
    <row r="18" spans="1:28" s="249" customFormat="1" ht="12.75" customHeight="1" x14ac:dyDescent="0.2">
      <c r="A18" s="101" t="s">
        <v>9</v>
      </c>
      <c r="B18" s="20">
        <v>-65.007000000000005</v>
      </c>
      <c r="C18" s="84"/>
      <c r="D18" s="20">
        <v>-2.9380000000000006</v>
      </c>
      <c r="E18" s="84"/>
      <c r="F18" s="20">
        <v>-19.411999999999999</v>
      </c>
      <c r="G18" s="139"/>
      <c r="H18" s="21">
        <v>-1.4540000000000002</v>
      </c>
      <c r="I18" s="84"/>
      <c r="J18" s="21">
        <v>-5.1740000000000004</v>
      </c>
      <c r="K18" s="84"/>
      <c r="L18" s="21">
        <v>-3.31</v>
      </c>
      <c r="M18" s="84"/>
      <c r="N18" s="21">
        <v>-3.75</v>
      </c>
      <c r="O18" s="84"/>
      <c r="P18" s="20">
        <f t="shared" si="0"/>
        <v>-13.688000000000001</v>
      </c>
      <c r="Q18" s="139"/>
      <c r="R18" s="21">
        <v>-12.121</v>
      </c>
      <c r="S18" s="84"/>
      <c r="T18" s="21">
        <v>-5.1849999999999996</v>
      </c>
      <c r="U18" s="84"/>
      <c r="V18" s="21">
        <v>-5.665</v>
      </c>
      <c r="W18" s="84"/>
      <c r="X18" s="21">
        <v>-5.4690000000000003</v>
      </c>
      <c r="Y18" s="247"/>
      <c r="Z18" s="20">
        <f>SUM(R18,T18,V18,X18)+0.001</f>
        <v>-28.439</v>
      </c>
      <c r="AB18" s="21">
        <v>-2.101</v>
      </c>
    </row>
    <row r="19" spans="1:28" ht="12.75" customHeight="1" x14ac:dyDescent="0.2">
      <c r="A19" s="252" t="s">
        <v>128</v>
      </c>
      <c r="B19" s="141">
        <v>78.698000000000008</v>
      </c>
      <c r="C19" s="84"/>
      <c r="D19" s="141">
        <v>217.97500000000002</v>
      </c>
      <c r="E19" s="84"/>
      <c r="F19" s="141">
        <v>224.68300000000008</v>
      </c>
      <c r="G19" s="139"/>
      <c r="H19" s="142">
        <f>SUM(H9:H18)</f>
        <v>36.241999999999983</v>
      </c>
      <c r="I19" s="84"/>
      <c r="J19" s="142">
        <f>SUM(J9:J18)</f>
        <v>110.72199999999998</v>
      </c>
      <c r="K19" s="84"/>
      <c r="L19" s="142">
        <f>SUM(L9:L18)</f>
        <v>106.42300000000002</v>
      </c>
      <c r="M19" s="84"/>
      <c r="N19" s="142">
        <f>SUM(N9:N18)</f>
        <v>51.164999999999999</v>
      </c>
      <c r="O19" s="84"/>
      <c r="P19" s="141">
        <f>SUM(P9:P18)</f>
        <v>304.55199999999996</v>
      </c>
      <c r="Q19" s="139"/>
      <c r="R19" s="142">
        <f>SUM(R9:R18)</f>
        <v>13.631999999999989</v>
      </c>
      <c r="S19" s="84"/>
      <c r="T19" s="142">
        <f>SUM(T9:T18)</f>
        <v>91.992000000000004</v>
      </c>
      <c r="U19" s="84"/>
      <c r="V19" s="142">
        <f>SUM(V9:V18)</f>
        <v>86.83899999999997</v>
      </c>
      <c r="W19" s="84"/>
      <c r="X19" s="142">
        <f>SUM(X9:X18)</f>
        <v>-12.559999999999988</v>
      </c>
      <c r="Y19" s="247"/>
      <c r="Z19" s="141">
        <f>SUM(Z9:Z18)</f>
        <v>179.90300000000005</v>
      </c>
      <c r="AB19" s="142">
        <f>SUM(AB9:AB18)</f>
        <v>61.254000000000012</v>
      </c>
    </row>
    <row r="20" spans="1:28" ht="12.75" customHeight="1" x14ac:dyDescent="0.35">
      <c r="A20" s="112"/>
      <c r="B20" s="248"/>
      <c r="C20" s="84"/>
      <c r="D20" s="113"/>
      <c r="E20" s="84"/>
      <c r="F20" s="113"/>
      <c r="G20" s="139"/>
      <c r="H20" s="143"/>
      <c r="I20" s="84"/>
      <c r="J20" s="143"/>
      <c r="K20" s="84"/>
      <c r="L20" s="143"/>
      <c r="M20" s="84"/>
      <c r="N20" s="143"/>
      <c r="O20" s="84"/>
      <c r="P20" s="113"/>
      <c r="Q20" s="139"/>
      <c r="R20" s="143"/>
      <c r="S20" s="84"/>
      <c r="T20" s="143"/>
      <c r="U20" s="84"/>
      <c r="V20" s="143"/>
      <c r="W20" s="84"/>
      <c r="X20" s="143"/>
      <c r="Y20" s="247"/>
      <c r="Z20" s="113"/>
      <c r="AB20" s="143"/>
    </row>
    <row r="21" spans="1:28" ht="12.75" customHeight="1" x14ac:dyDescent="0.35">
      <c r="A21" s="112" t="s">
        <v>129</v>
      </c>
      <c r="B21" s="248"/>
      <c r="C21" s="84"/>
      <c r="D21" s="113"/>
      <c r="E21" s="84"/>
      <c r="F21" s="113"/>
      <c r="G21" s="139"/>
      <c r="H21" s="61"/>
      <c r="I21" s="84"/>
      <c r="J21" s="61"/>
      <c r="K21" s="84"/>
      <c r="L21" s="61"/>
      <c r="M21" s="84"/>
      <c r="N21" s="61"/>
      <c r="O21" s="84"/>
      <c r="P21" s="113"/>
      <c r="Q21" s="139"/>
      <c r="R21" s="61"/>
      <c r="S21" s="84"/>
      <c r="T21" s="61"/>
      <c r="U21" s="84"/>
      <c r="V21" s="61"/>
      <c r="W21" s="84"/>
      <c r="X21" s="61"/>
      <c r="Y21" s="247"/>
      <c r="Z21" s="113"/>
      <c r="AB21" s="61"/>
    </row>
    <row r="22" spans="1:28" ht="12.75" customHeight="1" x14ac:dyDescent="0.2">
      <c r="A22" s="101" t="s">
        <v>130</v>
      </c>
      <c r="B22" s="248">
        <v>-27.817</v>
      </c>
      <c r="C22" s="84"/>
      <c r="D22" s="248">
        <v>-31.413</v>
      </c>
      <c r="E22" s="84"/>
      <c r="F22" s="248">
        <v>-29.327999999999999</v>
      </c>
      <c r="G22" s="139"/>
      <c r="H22" s="21">
        <v>-5.774</v>
      </c>
      <c r="I22" s="38"/>
      <c r="J22" s="38">
        <v>-4.5679999999999996</v>
      </c>
      <c r="K22" s="84"/>
      <c r="L22" s="21">
        <v>-6.3789999999999996</v>
      </c>
      <c r="M22" s="84"/>
      <c r="N22" s="21">
        <v>-8.5540000000000003</v>
      </c>
      <c r="O22" s="84"/>
      <c r="P22" s="248">
        <f t="shared" ref="P22:P24" si="2">SUM(H22,J22,L22,N22)</f>
        <v>-25.274999999999999</v>
      </c>
      <c r="Q22" s="139"/>
      <c r="R22" s="21">
        <v>-7.9470000000000001</v>
      </c>
      <c r="S22" s="38"/>
      <c r="T22" s="38">
        <v>-6.16</v>
      </c>
      <c r="U22" s="84"/>
      <c r="V22" s="21">
        <v>-6.53</v>
      </c>
      <c r="W22" s="84"/>
      <c r="X22" s="21">
        <v>-9.9909999999999997</v>
      </c>
      <c r="Y22" s="247"/>
      <c r="Z22" s="248">
        <f t="shared" ref="Z22:Z24" si="3">SUM(R22,T22,V22,X22)</f>
        <v>-30.628</v>
      </c>
      <c r="AB22" s="21">
        <v>-4.1849999999999996</v>
      </c>
    </row>
    <row r="23" spans="1:28" ht="12.75" customHeight="1" x14ac:dyDescent="0.2">
      <c r="A23" s="101" t="s">
        <v>131</v>
      </c>
      <c r="B23" s="20">
        <v>-280.02600000000001</v>
      </c>
      <c r="C23" s="84"/>
      <c r="D23" s="20">
        <v>-0.21999999999999997</v>
      </c>
      <c r="E23" s="84"/>
      <c r="F23" s="20">
        <v>-245.84300000000002</v>
      </c>
      <c r="G23" s="139"/>
      <c r="H23" s="21">
        <v>0</v>
      </c>
      <c r="I23" s="38"/>
      <c r="J23" s="21">
        <v>-111.51900000000001</v>
      </c>
      <c r="K23" s="84"/>
      <c r="L23" s="21">
        <v>0</v>
      </c>
      <c r="M23" s="84"/>
      <c r="N23" s="21">
        <v>-212.006</v>
      </c>
      <c r="O23" s="84"/>
      <c r="P23" s="20">
        <f t="shared" si="2"/>
        <v>-323.52499999999998</v>
      </c>
      <c r="Q23" s="139"/>
      <c r="R23" s="21">
        <v>0.18</v>
      </c>
      <c r="S23" s="38"/>
      <c r="T23" s="21">
        <v>0</v>
      </c>
      <c r="U23" s="84"/>
      <c r="V23" s="21">
        <v>-98.590999999999994</v>
      </c>
      <c r="W23" s="84"/>
      <c r="X23" s="21">
        <v>0</v>
      </c>
      <c r="Y23" s="247"/>
      <c r="Z23" s="20">
        <f t="shared" si="3"/>
        <v>-98.410999999999987</v>
      </c>
      <c r="AB23" s="21">
        <v>-64.78</v>
      </c>
    </row>
    <row r="24" spans="1:28" ht="12.75" customHeight="1" x14ac:dyDescent="0.2">
      <c r="A24" s="101" t="s">
        <v>132</v>
      </c>
      <c r="B24" s="20">
        <v>0</v>
      </c>
      <c r="C24" s="84"/>
      <c r="D24" s="20">
        <v>0</v>
      </c>
      <c r="E24" s="84"/>
      <c r="F24" s="20">
        <v>0.72099999999999997</v>
      </c>
      <c r="G24" s="139"/>
      <c r="H24" s="21">
        <v>0</v>
      </c>
      <c r="I24" s="38"/>
      <c r="J24" s="21">
        <v>0</v>
      </c>
      <c r="K24" s="84"/>
      <c r="L24" s="21">
        <v>0</v>
      </c>
      <c r="M24" s="84"/>
      <c r="N24" s="21">
        <v>0</v>
      </c>
      <c r="O24" s="84"/>
      <c r="P24" s="20">
        <f t="shared" si="2"/>
        <v>0</v>
      </c>
      <c r="Q24" s="139"/>
      <c r="R24" s="21">
        <v>-1</v>
      </c>
      <c r="S24" s="38"/>
      <c r="T24" s="21">
        <v>0</v>
      </c>
      <c r="U24" s="84"/>
      <c r="V24" s="21">
        <v>-10</v>
      </c>
      <c r="W24" s="84"/>
      <c r="X24" s="21">
        <v>0</v>
      </c>
      <c r="Y24" s="247"/>
      <c r="Z24" s="20">
        <f t="shared" si="3"/>
        <v>-11</v>
      </c>
      <c r="AB24" s="21">
        <v>0</v>
      </c>
    </row>
    <row r="25" spans="1:28" ht="12.75" customHeight="1" x14ac:dyDescent="0.2">
      <c r="A25" s="252" t="s">
        <v>133</v>
      </c>
      <c r="B25" s="253">
        <v>-307.84300000000002</v>
      </c>
      <c r="C25" s="84"/>
      <c r="D25" s="253">
        <v>-31.632999999999999</v>
      </c>
      <c r="E25" s="84"/>
      <c r="F25" s="253">
        <v>-274.45</v>
      </c>
      <c r="G25" s="139"/>
      <c r="H25" s="142">
        <f>SUM(H22:H24)</f>
        <v>-5.774</v>
      </c>
      <c r="I25" s="38"/>
      <c r="J25" s="142">
        <f>SUM(J22:J24)</f>
        <v>-116.087</v>
      </c>
      <c r="K25" s="84"/>
      <c r="L25" s="142">
        <f>SUM(L22:L24)</f>
        <v>-6.3789999999999996</v>
      </c>
      <c r="M25" s="84"/>
      <c r="N25" s="142">
        <f>SUM(N22:N24)</f>
        <v>-220.56</v>
      </c>
      <c r="O25" s="84"/>
      <c r="P25" s="253">
        <f>SUM(P22:P24)</f>
        <v>-348.79999999999995</v>
      </c>
      <c r="Q25" s="139"/>
      <c r="R25" s="142">
        <f>SUM(R22:R24)</f>
        <v>-8.7669999999999995</v>
      </c>
      <c r="S25" s="38"/>
      <c r="T25" s="142">
        <f>SUM(T22:T24)</f>
        <v>-6.16</v>
      </c>
      <c r="U25" s="84"/>
      <c r="V25" s="142">
        <f>SUM(V22:V24)</f>
        <v>-115.121</v>
      </c>
      <c r="W25" s="84"/>
      <c r="X25" s="142">
        <f>SUM(X22:X24)</f>
        <v>-9.9909999999999997</v>
      </c>
      <c r="Y25" s="247"/>
      <c r="Z25" s="253">
        <f>SUM(Z22:Z24)</f>
        <v>-140.03899999999999</v>
      </c>
      <c r="AB25" s="142">
        <f>SUM(AB22:AB24)</f>
        <v>-68.965000000000003</v>
      </c>
    </row>
    <row r="26" spans="1:28" ht="12.75" customHeight="1" x14ac:dyDescent="0.35">
      <c r="A26" s="112"/>
      <c r="B26" s="248"/>
      <c r="C26" s="84"/>
      <c r="D26" s="113"/>
      <c r="E26" s="84"/>
      <c r="F26" s="113"/>
      <c r="G26" s="139"/>
      <c r="H26" s="143"/>
      <c r="I26" s="84"/>
      <c r="J26" s="143"/>
      <c r="K26" s="84"/>
      <c r="L26" s="143"/>
      <c r="M26" s="84"/>
      <c r="N26" s="143"/>
      <c r="O26" s="84"/>
      <c r="P26" s="113"/>
      <c r="Q26" s="139"/>
      <c r="R26" s="143"/>
      <c r="S26" s="84"/>
      <c r="T26" s="143"/>
      <c r="U26" s="84"/>
      <c r="V26" s="143"/>
      <c r="W26" s="84"/>
      <c r="X26" s="143"/>
      <c r="Y26" s="247"/>
      <c r="Z26" s="113"/>
      <c r="AB26" s="143"/>
    </row>
    <row r="27" spans="1:28" ht="12.75" customHeight="1" x14ac:dyDescent="0.2">
      <c r="A27" s="112" t="s">
        <v>134</v>
      </c>
      <c r="B27" s="248"/>
      <c r="C27" s="84"/>
      <c r="D27" s="113"/>
      <c r="E27" s="84"/>
      <c r="F27" s="113"/>
      <c r="G27" s="139"/>
      <c r="H27" s="38"/>
      <c r="I27" s="84"/>
      <c r="J27" s="38"/>
      <c r="K27" s="84"/>
      <c r="L27" s="38"/>
      <c r="M27" s="84"/>
      <c r="N27" s="38"/>
      <c r="O27" s="84"/>
      <c r="P27" s="113"/>
      <c r="Q27" s="139"/>
      <c r="R27" s="38"/>
      <c r="S27" s="84"/>
      <c r="T27" s="38"/>
      <c r="U27" s="84"/>
      <c r="V27" s="38"/>
      <c r="W27" s="84"/>
      <c r="X27" s="38"/>
      <c r="Y27" s="247"/>
      <c r="Z27" s="113"/>
      <c r="AB27" s="38"/>
    </row>
    <row r="28" spans="1:28" ht="12.75" customHeight="1" x14ac:dyDescent="0.2">
      <c r="A28" s="101" t="s">
        <v>135</v>
      </c>
      <c r="B28" s="248">
        <v>200</v>
      </c>
      <c r="C28" s="84"/>
      <c r="D28" s="248">
        <v>170</v>
      </c>
      <c r="E28" s="84"/>
      <c r="F28" s="248">
        <v>-111.875</v>
      </c>
      <c r="G28" s="139"/>
      <c r="H28" s="21">
        <v>110</v>
      </c>
      <c r="I28" s="84"/>
      <c r="J28" s="21">
        <v>-50</v>
      </c>
      <c r="K28" s="84"/>
      <c r="L28" s="21">
        <v>-3.125</v>
      </c>
      <c r="M28" s="84"/>
      <c r="N28" s="21">
        <v>296.875</v>
      </c>
      <c r="O28" s="84"/>
      <c r="P28" s="248">
        <f>SUM(H28,J28,L28,N28)</f>
        <v>353.75</v>
      </c>
      <c r="Q28" s="139"/>
      <c r="R28" s="21">
        <v>-6.25</v>
      </c>
      <c r="S28" s="84"/>
      <c r="T28" s="21">
        <v>-75</v>
      </c>
      <c r="U28" s="84"/>
      <c r="V28" s="21">
        <v>93.75</v>
      </c>
      <c r="W28" s="84"/>
      <c r="X28" s="21">
        <v>43.75</v>
      </c>
      <c r="Y28" s="247"/>
      <c r="Z28" s="248">
        <f>SUM(R28,T28,V28,X28)</f>
        <v>56.25</v>
      </c>
      <c r="AB28" s="21">
        <v>50</v>
      </c>
    </row>
    <row r="29" spans="1:28" ht="12.75" customHeight="1" x14ac:dyDescent="0.2">
      <c r="A29" s="101" t="s">
        <v>136</v>
      </c>
      <c r="B29" s="248">
        <v>24.756</v>
      </c>
      <c r="C29" s="84"/>
      <c r="D29" s="248">
        <v>21.21</v>
      </c>
      <c r="E29" s="84"/>
      <c r="F29" s="248">
        <v>4.8840000000000003</v>
      </c>
      <c r="G29" s="139"/>
      <c r="H29" s="21">
        <v>0.35099999999999998</v>
      </c>
      <c r="I29" s="84"/>
      <c r="J29" s="21">
        <v>0.36499999999999999</v>
      </c>
      <c r="K29" s="84"/>
      <c r="L29" s="21">
        <v>8.5000000000000006E-2</v>
      </c>
      <c r="M29" s="84"/>
      <c r="N29" s="21">
        <v>7.5999999999999998E-2</v>
      </c>
      <c r="O29" s="84"/>
      <c r="P29" s="248">
        <f t="shared" ref="P29:P33" si="4">SUM(H29,J29,L29,N29)</f>
        <v>0.87699999999999989</v>
      </c>
      <c r="Q29" s="139"/>
      <c r="R29" s="21">
        <v>3.0000000000000001E-3</v>
      </c>
      <c r="S29" s="84"/>
      <c r="T29" s="21">
        <v>3.0000000000000001E-3</v>
      </c>
      <c r="U29" s="84"/>
      <c r="V29" s="21">
        <v>3.2000000000000001E-2</v>
      </c>
      <c r="W29" s="84"/>
      <c r="X29" s="21">
        <v>3.0000000000000001E-3</v>
      </c>
      <c r="Y29" s="247"/>
      <c r="Z29" s="248">
        <f t="shared" ref="Z29:Z33" si="5">SUM(R29,T29,V29,X29)</f>
        <v>4.1000000000000002E-2</v>
      </c>
      <c r="AB29" s="21">
        <v>1E-3</v>
      </c>
    </row>
    <row r="30" spans="1:28" ht="12.75" customHeight="1" x14ac:dyDescent="0.2">
      <c r="A30" s="101" t="s">
        <v>137</v>
      </c>
      <c r="B30" s="248">
        <v>-22.52</v>
      </c>
      <c r="C30" s="84"/>
      <c r="D30" s="248">
        <v>-20.967000000000002</v>
      </c>
      <c r="E30" s="84"/>
      <c r="F30" s="248">
        <v>-14.996000000000002</v>
      </c>
      <c r="G30" s="139"/>
      <c r="H30" s="21">
        <v>-19.363</v>
      </c>
      <c r="I30" s="84"/>
      <c r="J30" s="21">
        <v>-2.274</v>
      </c>
      <c r="K30" s="84"/>
      <c r="L30" s="21">
        <v>-5.1120000000000001</v>
      </c>
      <c r="M30" s="84"/>
      <c r="N30" s="21">
        <v>-0.108</v>
      </c>
      <c r="O30" s="84"/>
      <c r="P30" s="248">
        <f t="shared" si="4"/>
        <v>-26.857000000000003</v>
      </c>
      <c r="Q30" s="139"/>
      <c r="R30" s="21">
        <v>-21.669</v>
      </c>
      <c r="S30" s="84"/>
      <c r="T30" s="21">
        <v>-0.19500000000000001</v>
      </c>
      <c r="U30" s="84"/>
      <c r="V30" s="21">
        <v>-7.2530000000000001</v>
      </c>
      <c r="W30" s="84"/>
      <c r="X30" s="21">
        <v>-0.09</v>
      </c>
      <c r="Y30" s="247"/>
      <c r="Z30" s="248">
        <f t="shared" si="5"/>
        <v>-29.207000000000001</v>
      </c>
      <c r="AB30" s="21">
        <v>-14.833</v>
      </c>
    </row>
    <row r="31" spans="1:28" ht="12.75" customHeight="1" x14ac:dyDescent="0.2">
      <c r="A31" s="101" t="s">
        <v>138</v>
      </c>
      <c r="B31" s="248">
        <v>-54.921000000000006</v>
      </c>
      <c r="C31" s="84"/>
      <c r="D31" s="248">
        <v>-34.953000000000003</v>
      </c>
      <c r="E31" s="84"/>
      <c r="F31" s="248">
        <v>-74.871000000000009</v>
      </c>
      <c r="G31" s="139"/>
      <c r="H31" s="21">
        <v>0</v>
      </c>
      <c r="I31" s="84"/>
      <c r="J31" s="21">
        <v>-39.965000000000003</v>
      </c>
      <c r="K31" s="84"/>
      <c r="L31" s="21">
        <v>-59.95</v>
      </c>
      <c r="M31" s="84"/>
      <c r="N31" s="21">
        <v>-125</v>
      </c>
      <c r="O31" s="84"/>
      <c r="P31" s="248">
        <f t="shared" si="4"/>
        <v>-224.91500000000002</v>
      </c>
      <c r="Q31" s="139"/>
      <c r="R31" s="21">
        <v>0</v>
      </c>
      <c r="S31" s="84"/>
      <c r="T31" s="21">
        <v>0</v>
      </c>
      <c r="U31" s="84"/>
      <c r="V31" s="21">
        <v>-49.962000000000003</v>
      </c>
      <c r="W31" s="84"/>
      <c r="X31" s="21">
        <v>-14.978</v>
      </c>
      <c r="Y31" s="247"/>
      <c r="Z31" s="248">
        <f t="shared" si="5"/>
        <v>-64.94</v>
      </c>
      <c r="AB31" s="21">
        <v>0</v>
      </c>
    </row>
    <row r="32" spans="1:28" ht="12.75" customHeight="1" x14ac:dyDescent="0.2">
      <c r="A32" s="101" t="s">
        <v>127</v>
      </c>
      <c r="B32" s="248">
        <v>5.3979999999999997</v>
      </c>
      <c r="C32" s="84"/>
      <c r="D32" s="248">
        <v>1.3239999999999998</v>
      </c>
      <c r="E32" s="84"/>
      <c r="F32" s="248">
        <v>0.33400000000000002</v>
      </c>
      <c r="G32" s="139"/>
      <c r="H32" s="21">
        <v>6.8019999999999996</v>
      </c>
      <c r="I32" s="84"/>
      <c r="J32" s="21">
        <v>1.29</v>
      </c>
      <c r="K32" s="84"/>
      <c r="L32" s="21">
        <v>1.484</v>
      </c>
      <c r="M32" s="84"/>
      <c r="N32" s="21">
        <v>0.85199999999999998</v>
      </c>
      <c r="O32" s="84"/>
      <c r="P32" s="248">
        <f t="shared" si="4"/>
        <v>10.427999999999999</v>
      </c>
      <c r="Q32" s="139"/>
      <c r="R32" s="21">
        <v>0.16300000000000001</v>
      </c>
      <c r="S32" s="84"/>
      <c r="T32" s="21">
        <v>0</v>
      </c>
      <c r="U32" s="84"/>
      <c r="V32" s="21">
        <v>-0.23400000000000001</v>
      </c>
      <c r="W32" s="84"/>
      <c r="X32" s="21">
        <v>9.5000000000000001E-2</v>
      </c>
      <c r="Y32" s="247"/>
      <c r="Z32" s="248">
        <f t="shared" si="5"/>
        <v>2.3999999999999994E-2</v>
      </c>
      <c r="AB32" s="21">
        <v>5.6000000000000001E-2</v>
      </c>
    </row>
    <row r="33" spans="1:28" ht="12.75" customHeight="1" x14ac:dyDescent="0.2">
      <c r="A33" s="101" t="s">
        <v>139</v>
      </c>
      <c r="B33" s="20">
        <v>-2.2930000000000001</v>
      </c>
      <c r="C33" s="84"/>
      <c r="D33" s="20">
        <v>-1.9510000000000001</v>
      </c>
      <c r="E33" s="84"/>
      <c r="F33" s="20">
        <v>0</v>
      </c>
      <c r="G33" s="139"/>
      <c r="H33" s="21">
        <v>0</v>
      </c>
      <c r="I33" s="84"/>
      <c r="J33" s="21">
        <v>-4.12</v>
      </c>
      <c r="K33" s="84"/>
      <c r="L33" s="21">
        <v>0</v>
      </c>
      <c r="M33" s="84"/>
      <c r="N33" s="21">
        <v>-3.81</v>
      </c>
      <c r="O33" s="84"/>
      <c r="P33" s="20">
        <f t="shared" si="4"/>
        <v>-7.93</v>
      </c>
      <c r="Q33" s="139"/>
      <c r="R33" s="21">
        <v>0</v>
      </c>
      <c r="S33" s="84"/>
      <c r="T33" s="21">
        <v>0</v>
      </c>
      <c r="U33" s="84"/>
      <c r="V33" s="21">
        <v>0</v>
      </c>
      <c r="W33" s="84"/>
      <c r="X33" s="21">
        <v>-4.3230000000000004</v>
      </c>
      <c r="Y33" s="247"/>
      <c r="Z33" s="20">
        <f t="shared" si="5"/>
        <v>-4.3230000000000004</v>
      </c>
      <c r="AB33" s="21">
        <v>-2.2999999999999998</v>
      </c>
    </row>
    <row r="34" spans="1:28" ht="12.75" customHeight="1" x14ac:dyDescent="0.2">
      <c r="A34" s="252" t="s">
        <v>140</v>
      </c>
      <c r="B34" s="253">
        <v>150.41999999999999</v>
      </c>
      <c r="C34" s="84"/>
      <c r="D34" s="253">
        <v>134.66300000000001</v>
      </c>
      <c r="E34" s="84"/>
      <c r="F34" s="253">
        <v>-196.524</v>
      </c>
      <c r="G34" s="139"/>
      <c r="H34" s="142">
        <f>SUM(H28:H33)</f>
        <v>97.789999999999992</v>
      </c>
      <c r="I34" s="84"/>
      <c r="J34" s="142">
        <f>SUM(J28:J33)</f>
        <v>-94.703999999999994</v>
      </c>
      <c r="K34" s="84"/>
      <c r="L34" s="142">
        <f>SUM(L28:L33)</f>
        <v>-66.618000000000009</v>
      </c>
      <c r="M34" s="84"/>
      <c r="N34" s="142">
        <f>SUM(N28:N33)</f>
        <v>168.88500000000002</v>
      </c>
      <c r="O34" s="84"/>
      <c r="P34" s="253">
        <f>SUM(P28:P33)</f>
        <v>105.35299999999995</v>
      </c>
      <c r="Q34" s="139"/>
      <c r="R34" s="142">
        <f>SUM(R28:R33)</f>
        <v>-27.753</v>
      </c>
      <c r="S34" s="84"/>
      <c r="T34" s="142">
        <f>SUM(T28:T33)</f>
        <v>-75.191999999999993</v>
      </c>
      <c r="U34" s="84"/>
      <c r="V34" s="142">
        <f>SUM(V28:V33)</f>
        <v>36.332999999999991</v>
      </c>
      <c r="W34" s="84"/>
      <c r="X34" s="142">
        <f>SUM(X28:X33)</f>
        <v>24.456999999999994</v>
      </c>
      <c r="Y34" s="247"/>
      <c r="Z34" s="253">
        <f>SUM(Z28:Z33)</f>
        <v>-42.155000000000001</v>
      </c>
      <c r="AB34" s="142">
        <f>SUM(AB28:AB33)</f>
        <v>32.923999999999999</v>
      </c>
    </row>
    <row r="35" spans="1:28" ht="12.75" customHeight="1" x14ac:dyDescent="0.35">
      <c r="A35" s="112"/>
      <c r="B35" s="113"/>
      <c r="C35" s="84"/>
      <c r="D35" s="113"/>
      <c r="E35" s="84"/>
      <c r="F35" s="113"/>
      <c r="G35" s="139"/>
      <c r="H35" s="143"/>
      <c r="I35" s="84"/>
      <c r="J35" s="143"/>
      <c r="K35" s="84"/>
      <c r="L35" s="143"/>
      <c r="M35" s="84"/>
      <c r="N35" s="143"/>
      <c r="O35" s="84"/>
      <c r="P35" s="113"/>
      <c r="Q35" s="139"/>
      <c r="R35" s="143"/>
      <c r="S35" s="84"/>
      <c r="T35" s="143"/>
      <c r="U35" s="84"/>
      <c r="V35" s="143"/>
      <c r="W35" s="84"/>
      <c r="X35" s="143"/>
      <c r="Y35" s="247"/>
      <c r="Z35" s="113"/>
      <c r="AB35" s="143"/>
    </row>
    <row r="36" spans="1:28" ht="12.75" customHeight="1" x14ac:dyDescent="0.2">
      <c r="A36" s="112" t="s">
        <v>141</v>
      </c>
      <c r="B36" s="254">
        <v>6.35</v>
      </c>
      <c r="C36" s="84"/>
      <c r="D36" s="254">
        <v>0.6599999999999997</v>
      </c>
      <c r="E36" s="84"/>
      <c r="F36" s="254">
        <v>-1.3390000000000004</v>
      </c>
      <c r="G36" s="139"/>
      <c r="H36" s="41">
        <v>1.206</v>
      </c>
      <c r="I36" s="84"/>
      <c r="J36" s="41">
        <v>-0.83799999999999997</v>
      </c>
      <c r="K36" s="84"/>
      <c r="L36" s="41">
        <v>0.27700000000000002</v>
      </c>
      <c r="M36" s="84"/>
      <c r="N36" s="41">
        <v>-10.009</v>
      </c>
      <c r="O36" s="84"/>
      <c r="P36" s="254">
        <f>SUM(H36,J36,L36,N36)</f>
        <v>-9.3640000000000008</v>
      </c>
      <c r="Q36" s="139"/>
      <c r="R36" s="41">
        <v>-9.7140000000000004</v>
      </c>
      <c r="S36" s="84"/>
      <c r="T36" s="41">
        <v>-3.8769999999999998</v>
      </c>
      <c r="U36" s="84"/>
      <c r="V36" s="41">
        <v>-0.80600000000000005</v>
      </c>
      <c r="W36" s="84"/>
      <c r="X36" s="41">
        <v>-3.5489999999999999</v>
      </c>
      <c r="Y36" s="247"/>
      <c r="Z36" s="254">
        <f>SUM(R36,T36,V36,X36)</f>
        <v>-17.946000000000002</v>
      </c>
      <c r="AB36" s="41">
        <v>-1.833</v>
      </c>
    </row>
    <row r="37" spans="1:28" ht="12.75" customHeight="1" x14ac:dyDescent="0.2">
      <c r="A37" s="112" t="s">
        <v>142</v>
      </c>
      <c r="B37" s="248">
        <v>-72.375000000000028</v>
      </c>
      <c r="C37" s="84"/>
      <c r="D37" s="248">
        <v>321.66500000000002</v>
      </c>
      <c r="E37" s="84"/>
      <c r="F37" s="248">
        <v>-247.62999999999991</v>
      </c>
      <c r="G37" s="139"/>
      <c r="H37" s="38">
        <f>SUM(H19,H25,H34,H36)</f>
        <v>129.46399999999997</v>
      </c>
      <c r="I37" s="84"/>
      <c r="J37" s="38">
        <f>SUM(J19,J25,J34,J36)</f>
        <v>-100.90700000000001</v>
      </c>
      <c r="K37" s="84"/>
      <c r="L37" s="38">
        <f>SUM(L19,L25,L34,L36)</f>
        <v>33.703000000000003</v>
      </c>
      <c r="M37" s="84"/>
      <c r="N37" s="38">
        <f>SUM(N19,N25,N34,N36)</f>
        <v>-10.518999999999991</v>
      </c>
      <c r="O37" s="84"/>
      <c r="P37" s="248">
        <f>SUM(P19,P25,P34,P36)</f>
        <v>51.740999999999957</v>
      </c>
      <c r="Q37" s="139"/>
      <c r="R37" s="38">
        <f>SUM(R19,R25,R34,R36)</f>
        <v>-32.602000000000011</v>
      </c>
      <c r="S37" s="84"/>
      <c r="T37" s="38">
        <f>SUM(T19,T25,T34,T36)</f>
        <v>6.763000000000015</v>
      </c>
      <c r="U37" s="84"/>
      <c r="V37" s="38">
        <f>SUM(V19,V25,V34,V36)</f>
        <v>7.2449999999999664</v>
      </c>
      <c r="W37" s="84"/>
      <c r="X37" s="38">
        <f>SUM(X19,X25,X34,X36)</f>
        <v>-1.642999999999994</v>
      </c>
      <c r="Y37" s="247"/>
      <c r="Z37" s="248">
        <f>SUM(Z19,Z25,Z34,Z36)</f>
        <v>-20.236999999999941</v>
      </c>
      <c r="AB37" s="38">
        <f>SUM(AB19,AB25,AB34,AB36)</f>
        <v>23.38000000000001</v>
      </c>
    </row>
    <row r="38" spans="1:28" s="249" customFormat="1" ht="12.75" customHeight="1" x14ac:dyDescent="0.2">
      <c r="A38" s="255" t="s">
        <v>143</v>
      </c>
      <c r="B38" s="248">
        <v>240.25300000000001</v>
      </c>
      <c r="C38" s="84"/>
      <c r="D38" s="248">
        <v>167.87799999999999</v>
      </c>
      <c r="E38" s="84"/>
      <c r="F38" s="248">
        <v>489.54300000000001</v>
      </c>
      <c r="G38" s="139"/>
      <c r="H38" s="38">
        <f>F39</f>
        <v>241.9130000000001</v>
      </c>
      <c r="I38" s="84"/>
      <c r="J38" s="38">
        <f>H39</f>
        <v>371.37700000000007</v>
      </c>
      <c r="K38" s="38"/>
      <c r="L38" s="38">
        <f>J39</f>
        <v>270.47000000000003</v>
      </c>
      <c r="M38" s="38"/>
      <c r="N38" s="38">
        <f>L39</f>
        <v>304.173</v>
      </c>
      <c r="O38" s="84"/>
      <c r="P38" s="248">
        <f>F39</f>
        <v>241.9130000000001</v>
      </c>
      <c r="Q38" s="139"/>
      <c r="R38" s="38">
        <f>P39</f>
        <v>293.65400000000005</v>
      </c>
      <c r="S38" s="84"/>
      <c r="T38" s="38">
        <f>R39</f>
        <v>261.05200000000002</v>
      </c>
      <c r="U38" s="38"/>
      <c r="V38" s="38">
        <f>T39</f>
        <v>267.81500000000005</v>
      </c>
      <c r="W38" s="38"/>
      <c r="X38" s="38">
        <f>V39</f>
        <v>275.06</v>
      </c>
      <c r="Y38" s="247"/>
      <c r="Z38" s="248">
        <f>P39</f>
        <v>293.65400000000005</v>
      </c>
      <c r="AB38" s="38">
        <f>Z39</f>
        <v>273.41700000000009</v>
      </c>
    </row>
    <row r="39" spans="1:28" s="249" customFormat="1" ht="12.75" customHeight="1" thickBot="1" x14ac:dyDescent="0.25">
      <c r="A39" s="255" t="s">
        <v>144</v>
      </c>
      <c r="B39" s="60">
        <v>167.87799999999999</v>
      </c>
      <c r="C39" s="84"/>
      <c r="D39" s="60">
        <v>489.54300000000001</v>
      </c>
      <c r="E39" s="84"/>
      <c r="F39" s="60">
        <v>241.9130000000001</v>
      </c>
      <c r="G39" s="139"/>
      <c r="H39" s="43">
        <f>SUM(H37:H38)</f>
        <v>371.37700000000007</v>
      </c>
      <c r="I39" s="84"/>
      <c r="J39" s="43">
        <f>SUM(J37:J38)</f>
        <v>270.47000000000003</v>
      </c>
      <c r="K39" s="84"/>
      <c r="L39" s="43">
        <f>SUM(L37:L38)</f>
        <v>304.173</v>
      </c>
      <c r="M39" s="84"/>
      <c r="N39" s="43">
        <f>SUM(N37:N38)</f>
        <v>293.654</v>
      </c>
      <c r="O39" s="84"/>
      <c r="P39" s="60">
        <f>SUM(P37:P38)</f>
        <v>293.65400000000005</v>
      </c>
      <c r="Q39" s="139"/>
      <c r="R39" s="43">
        <f>SUM(R37:R38)</f>
        <v>261.05200000000002</v>
      </c>
      <c r="S39" s="84"/>
      <c r="T39" s="43">
        <f>SUM(T37:T38)</f>
        <v>267.81500000000005</v>
      </c>
      <c r="U39" s="84"/>
      <c r="V39" s="43">
        <f>SUM(V37:V38)</f>
        <v>275.06</v>
      </c>
      <c r="W39" s="84"/>
      <c r="X39" s="43">
        <f>SUM(X37:X38)</f>
        <v>273.41700000000003</v>
      </c>
      <c r="Y39" s="247"/>
      <c r="Z39" s="60">
        <f>SUM(Z37:Z38)</f>
        <v>273.41700000000009</v>
      </c>
      <c r="AB39" s="43">
        <f>SUM(AB37:AB38)</f>
        <v>296.79700000000008</v>
      </c>
    </row>
    <row r="40" spans="1:28" ht="12.75" customHeight="1" thickTop="1" x14ac:dyDescent="0.2">
      <c r="A40" s="112"/>
      <c r="B40" s="256"/>
      <c r="C40" s="84"/>
      <c r="D40" s="256"/>
      <c r="E40" s="84"/>
      <c r="F40" s="256"/>
      <c r="G40" s="139"/>
      <c r="H40" s="245"/>
      <c r="I40" s="84"/>
      <c r="J40" s="245"/>
      <c r="K40" s="84"/>
      <c r="L40" s="84"/>
      <c r="M40" s="84"/>
      <c r="N40" s="84"/>
      <c r="O40" s="84"/>
      <c r="P40" s="256"/>
      <c r="Q40" s="139"/>
      <c r="R40" s="245"/>
      <c r="S40" s="84"/>
      <c r="T40" s="245"/>
      <c r="U40" s="84"/>
      <c r="V40" s="84"/>
      <c r="W40" s="84"/>
      <c r="X40" s="84"/>
      <c r="Y40" s="84"/>
      <c r="Z40" s="256"/>
      <c r="AB40" s="245"/>
    </row>
    <row r="41" spans="1:28" ht="12.75" customHeight="1" x14ac:dyDescent="0.2">
      <c r="A41" s="112"/>
      <c r="B41" s="113"/>
      <c r="C41" s="84"/>
      <c r="D41" s="113"/>
      <c r="E41" s="84"/>
      <c r="F41" s="113"/>
      <c r="G41" s="139"/>
      <c r="H41" s="245"/>
      <c r="I41" s="84"/>
      <c r="J41" s="245"/>
      <c r="K41" s="84"/>
      <c r="L41" s="84"/>
      <c r="M41" s="84"/>
      <c r="N41" s="84"/>
      <c r="O41" s="84"/>
      <c r="P41" s="113"/>
      <c r="Q41" s="139"/>
      <c r="R41" s="245"/>
      <c r="S41" s="84"/>
      <c r="T41" s="245"/>
      <c r="U41" s="84"/>
      <c r="V41" s="84"/>
      <c r="W41" s="84"/>
      <c r="X41" s="84"/>
      <c r="Y41" s="84"/>
      <c r="Z41" s="113"/>
      <c r="AB41" s="245"/>
    </row>
    <row r="42" spans="1:28" ht="12.75" customHeight="1" x14ac:dyDescent="0.2">
      <c r="A42" s="112" t="s">
        <v>145</v>
      </c>
      <c r="B42" s="113"/>
      <c r="C42" s="84"/>
      <c r="D42" s="113"/>
      <c r="E42" s="84"/>
      <c r="F42" s="113"/>
      <c r="G42" s="139"/>
      <c r="H42" s="245"/>
      <c r="I42" s="84"/>
      <c r="J42" s="245"/>
      <c r="K42" s="84"/>
      <c r="L42" s="84"/>
      <c r="M42" s="84"/>
      <c r="N42" s="84"/>
      <c r="O42" s="84"/>
      <c r="P42" s="113"/>
      <c r="Q42" s="139"/>
      <c r="R42" s="245"/>
      <c r="S42" s="84"/>
      <c r="T42" s="245"/>
      <c r="U42" s="84"/>
      <c r="V42" s="84"/>
      <c r="W42" s="84"/>
      <c r="X42" s="84"/>
      <c r="Y42" s="84"/>
      <c r="Z42" s="113"/>
      <c r="AB42" s="245"/>
    </row>
    <row r="43" spans="1:28" ht="12.75" customHeight="1" x14ac:dyDescent="0.2">
      <c r="A43" s="101" t="str">
        <f>A19</f>
        <v xml:space="preserve">Net cash provided by (used in) operating activities </v>
      </c>
      <c r="B43" s="248">
        <v>78.698000000000008</v>
      </c>
      <c r="C43" s="84"/>
      <c r="D43" s="248">
        <v>217.97500000000005</v>
      </c>
      <c r="E43" s="84"/>
      <c r="F43" s="248">
        <v>224.68299999999999</v>
      </c>
      <c r="G43" s="139"/>
      <c r="H43" s="21">
        <f>H19</f>
        <v>36.241999999999983</v>
      </c>
      <c r="I43" s="84"/>
      <c r="J43" s="21">
        <f>J19</f>
        <v>110.72199999999998</v>
      </c>
      <c r="K43" s="84"/>
      <c r="L43" s="21">
        <f>L19</f>
        <v>106.42300000000002</v>
      </c>
      <c r="M43" s="84"/>
      <c r="N43" s="21">
        <f>N19</f>
        <v>51.164999999999999</v>
      </c>
      <c r="O43" s="84"/>
      <c r="P43" s="248">
        <f t="shared" ref="P43:P54" si="6">SUM(H43,J43,L43,N43)</f>
        <v>304.55200000000002</v>
      </c>
      <c r="Q43" s="139"/>
      <c r="R43" s="21">
        <f>R19</f>
        <v>13.631999999999989</v>
      </c>
      <c r="S43" s="84"/>
      <c r="T43" s="21">
        <f>T19</f>
        <v>91.992000000000004</v>
      </c>
      <c r="U43" s="84"/>
      <c r="V43" s="21">
        <f>V19</f>
        <v>86.83899999999997</v>
      </c>
      <c r="W43" s="84"/>
      <c r="X43" s="21">
        <f>X19</f>
        <v>-12.559999999999988</v>
      </c>
      <c r="Y43" s="84"/>
      <c r="Z43" s="248">
        <f t="shared" ref="Z43:Z54" si="7">SUM(R43,T43,V43,X43)</f>
        <v>179.90299999999996</v>
      </c>
      <c r="AB43" s="21">
        <f>AB19</f>
        <v>61.254000000000012</v>
      </c>
    </row>
    <row r="44" spans="1:28" ht="12.75" customHeight="1" x14ac:dyDescent="0.2">
      <c r="A44" s="101" t="str">
        <f>A22</f>
        <v xml:space="preserve">Capital expenditures </v>
      </c>
      <c r="B44" s="248">
        <v>-27.817</v>
      </c>
      <c r="C44" s="84"/>
      <c r="D44" s="248">
        <v>-31.413</v>
      </c>
      <c r="E44" s="84"/>
      <c r="F44" s="248">
        <v>-29.327999999999999</v>
      </c>
      <c r="G44" s="139"/>
      <c r="H44" s="21">
        <f>H22</f>
        <v>-5.774</v>
      </c>
      <c r="I44" s="84"/>
      <c r="J44" s="21">
        <f>J22</f>
        <v>-4.5679999999999996</v>
      </c>
      <c r="K44" s="84"/>
      <c r="L44" s="21">
        <f>L22</f>
        <v>-6.3789999999999996</v>
      </c>
      <c r="M44" s="84"/>
      <c r="N44" s="21">
        <f>N22</f>
        <v>-8.5540000000000003</v>
      </c>
      <c r="O44" s="84"/>
      <c r="P44" s="248">
        <f>SUM(H44,J44,L44,N44)</f>
        <v>-25.274999999999999</v>
      </c>
      <c r="Q44" s="139"/>
      <c r="R44" s="21">
        <f>R22</f>
        <v>-7.9470000000000001</v>
      </c>
      <c r="S44" s="84"/>
      <c r="T44" s="21">
        <f>T22</f>
        <v>-6.16</v>
      </c>
      <c r="U44" s="84"/>
      <c r="V44" s="21">
        <f>V22</f>
        <v>-6.53</v>
      </c>
      <c r="W44" s="84"/>
      <c r="X44" s="21">
        <f>X22</f>
        <v>-9.9909999999999997</v>
      </c>
      <c r="Y44" s="84"/>
      <c r="Z44" s="248">
        <f>SUM(R44,T44,V44,X44)</f>
        <v>-30.628</v>
      </c>
      <c r="AB44" s="21">
        <f>AB22</f>
        <v>-4.1849999999999996</v>
      </c>
    </row>
    <row r="45" spans="1:28" ht="12.75" customHeight="1" x14ac:dyDescent="0.2">
      <c r="A45" s="252" t="s">
        <v>145</v>
      </c>
      <c r="B45" s="253">
        <f>SUM(B43:B44)</f>
        <v>50.881000000000007</v>
      </c>
      <c r="C45" s="84"/>
      <c r="D45" s="253">
        <f>SUM(D43:D44)</f>
        <v>186.56200000000004</v>
      </c>
      <c r="E45" s="84"/>
      <c r="F45" s="253">
        <f>SUM(F43:F44)</f>
        <v>195.35499999999999</v>
      </c>
      <c r="G45" s="139"/>
      <c r="H45" s="142">
        <f>SUM(H43:H44)</f>
        <v>30.467999999999982</v>
      </c>
      <c r="I45" s="38"/>
      <c r="J45" s="142">
        <f>SUM(J43:J44)</f>
        <v>106.15399999999998</v>
      </c>
      <c r="K45" s="38"/>
      <c r="L45" s="142">
        <f>SUM(L43:L44)</f>
        <v>100.04400000000001</v>
      </c>
      <c r="M45" s="38"/>
      <c r="N45" s="142">
        <f>SUM(N43:N44)</f>
        <v>42.610999999999997</v>
      </c>
      <c r="O45" s="38"/>
      <c r="P45" s="253">
        <f>SUM(P43:P44)</f>
        <v>279.27700000000004</v>
      </c>
      <c r="Q45" s="139"/>
      <c r="R45" s="142">
        <f>SUM(R43:R44)</f>
        <v>5.684999999999989</v>
      </c>
      <c r="S45" s="38"/>
      <c r="T45" s="142">
        <f>SUM(T43:T44)</f>
        <v>85.832000000000008</v>
      </c>
      <c r="U45" s="38"/>
      <c r="V45" s="142">
        <f>SUM(V43:V44)</f>
        <v>80.308999999999969</v>
      </c>
      <c r="W45" s="38"/>
      <c r="X45" s="142">
        <f>SUM(X43:X44)</f>
        <v>-22.550999999999988</v>
      </c>
      <c r="Y45" s="38"/>
      <c r="Z45" s="253">
        <f>SUM(Z43:Z44)</f>
        <v>149.27499999999998</v>
      </c>
      <c r="AB45" s="142">
        <f>SUM(AB43:AB44)</f>
        <v>57.06900000000001</v>
      </c>
    </row>
    <row r="46" spans="1:28" ht="12.75" customHeight="1" x14ac:dyDescent="0.2">
      <c r="A46" s="252"/>
      <c r="B46" s="248"/>
      <c r="C46" s="84"/>
      <c r="D46" s="248"/>
      <c r="E46" s="84"/>
      <c r="F46" s="248"/>
      <c r="G46" s="139"/>
      <c r="H46" s="45"/>
      <c r="I46" s="38"/>
      <c r="J46" s="45"/>
      <c r="K46" s="38"/>
      <c r="L46" s="45"/>
      <c r="M46" s="38"/>
      <c r="N46" s="45"/>
      <c r="O46" s="38"/>
      <c r="P46" s="248"/>
      <c r="Q46" s="139"/>
      <c r="R46" s="45"/>
      <c r="S46" s="38"/>
      <c r="T46" s="45"/>
      <c r="U46" s="38"/>
      <c r="V46" s="45"/>
      <c r="W46" s="38"/>
      <c r="X46" s="45"/>
      <c r="Y46" s="38"/>
      <c r="Z46" s="248"/>
      <c r="AB46" s="45"/>
    </row>
    <row r="47" spans="1:28" ht="12.75" customHeight="1" x14ac:dyDescent="0.2">
      <c r="A47" s="101" t="str">
        <f>A31</f>
        <v>Repurchases of common stock</v>
      </c>
      <c r="B47" s="248">
        <v>-54.921000000000006</v>
      </c>
      <c r="C47" s="84"/>
      <c r="D47" s="248">
        <v>-34.953000000000003</v>
      </c>
      <c r="E47" s="84"/>
      <c r="F47" s="248">
        <v>-74.871000000000009</v>
      </c>
      <c r="G47" s="139"/>
      <c r="H47" s="21">
        <f>H31</f>
        <v>0</v>
      </c>
      <c r="I47" s="84"/>
      <c r="J47" s="21">
        <f>J31</f>
        <v>-39.965000000000003</v>
      </c>
      <c r="K47" s="84"/>
      <c r="L47" s="21">
        <f>L31</f>
        <v>-59.95</v>
      </c>
      <c r="M47" s="84"/>
      <c r="N47" s="21">
        <f>N31</f>
        <v>-125</v>
      </c>
      <c r="O47" s="84"/>
      <c r="P47" s="248">
        <f t="shared" ref="P47" si="8">SUM(H47,J47,L47,N47)</f>
        <v>-224.91500000000002</v>
      </c>
      <c r="Q47" s="139"/>
      <c r="R47" s="21">
        <f>R31</f>
        <v>0</v>
      </c>
      <c r="S47" s="84"/>
      <c r="T47" s="21">
        <f>T31</f>
        <v>0</v>
      </c>
      <c r="U47" s="84"/>
      <c r="V47" s="21">
        <f>V31</f>
        <v>-49.962000000000003</v>
      </c>
      <c r="W47" s="84"/>
      <c r="X47" s="21">
        <f>X31</f>
        <v>-14.978</v>
      </c>
      <c r="Y47" s="84"/>
      <c r="Z47" s="248">
        <f t="shared" ref="Z47" si="9">SUM(R47,T47,V47,X47)</f>
        <v>-64.94</v>
      </c>
      <c r="AB47" s="21">
        <f>AB31</f>
        <v>0</v>
      </c>
    </row>
    <row r="48" spans="1:28" ht="12.75" customHeight="1" thickBot="1" x14ac:dyDescent="0.25">
      <c r="A48" s="252" t="s">
        <v>146</v>
      </c>
      <c r="B48" s="144">
        <f>-B47/B45</f>
        <v>1.0794009551699062</v>
      </c>
      <c r="C48" s="84"/>
      <c r="D48" s="144">
        <f>-D47/D45</f>
        <v>0.18735326593840115</v>
      </c>
      <c r="E48" s="84"/>
      <c r="F48" s="144">
        <f>-F47/F45</f>
        <v>0.38325612346753352</v>
      </c>
      <c r="G48" s="84"/>
      <c r="H48" s="257"/>
      <c r="I48" s="84"/>
      <c r="J48" s="258"/>
      <c r="K48" s="84"/>
      <c r="L48" s="258"/>
      <c r="M48" s="84"/>
      <c r="N48" s="259"/>
      <c r="O48" s="84"/>
      <c r="P48" s="144">
        <f>-P47/P45</f>
        <v>0.80534737912538445</v>
      </c>
      <c r="Q48" s="84"/>
      <c r="R48" s="257"/>
      <c r="S48" s="84"/>
      <c r="T48" s="258"/>
      <c r="U48" s="84"/>
      <c r="V48" s="258"/>
      <c r="W48" s="84"/>
      <c r="X48" s="259"/>
      <c r="Y48" s="84"/>
      <c r="Z48" s="144">
        <f>-Z47/Z45</f>
        <v>0.43503600736894998</v>
      </c>
      <c r="AB48" s="257"/>
    </row>
    <row r="49" spans="1:28" ht="12.75" customHeight="1" thickTop="1" x14ac:dyDescent="0.2">
      <c r="A49" s="112"/>
      <c r="B49" s="113"/>
      <c r="C49" s="84"/>
      <c r="D49" s="113"/>
      <c r="E49" s="84"/>
      <c r="F49" s="113"/>
      <c r="G49" s="84"/>
      <c r="H49" s="245"/>
      <c r="I49" s="84"/>
      <c r="J49" s="245"/>
      <c r="K49" s="84"/>
      <c r="L49" s="84"/>
      <c r="M49" s="84"/>
      <c r="N49" s="84"/>
      <c r="O49" s="84"/>
      <c r="P49" s="113"/>
      <c r="Q49" s="84"/>
      <c r="R49" s="245"/>
      <c r="S49" s="260"/>
      <c r="T49" s="84"/>
      <c r="U49" s="84"/>
      <c r="V49" s="84"/>
      <c r="W49" s="84"/>
      <c r="X49" s="84"/>
      <c r="Y49" s="84"/>
      <c r="Z49" s="113"/>
    </row>
    <row r="50" spans="1:28" ht="12.75" customHeight="1" x14ac:dyDescent="0.2">
      <c r="A50" s="112" t="s">
        <v>219</v>
      </c>
      <c r="B50" s="113"/>
      <c r="C50" s="84"/>
      <c r="D50" s="113"/>
      <c r="E50" s="84"/>
      <c r="F50" s="113"/>
      <c r="G50" s="84"/>
      <c r="H50" s="245"/>
      <c r="I50" s="84"/>
      <c r="J50" s="245"/>
      <c r="K50" s="84"/>
      <c r="L50" s="84"/>
      <c r="M50" s="84"/>
      <c r="N50" s="84"/>
      <c r="O50" s="84"/>
      <c r="P50" s="113"/>
      <c r="Q50" s="84"/>
      <c r="R50" s="245"/>
      <c r="S50" s="260"/>
      <c r="T50" s="84"/>
      <c r="U50" s="84"/>
      <c r="V50" s="84"/>
      <c r="W50" s="84"/>
      <c r="X50" s="84"/>
      <c r="Y50" s="84"/>
      <c r="Z50" s="113"/>
    </row>
    <row r="51" spans="1:28" ht="12.75" customHeight="1" x14ac:dyDescent="0.2">
      <c r="A51" s="101" t="s">
        <v>220</v>
      </c>
      <c r="B51" s="248">
        <f>+B45</f>
        <v>50.881000000000007</v>
      </c>
      <c r="C51" s="84"/>
      <c r="D51" s="248">
        <f>+D45</f>
        <v>186.56200000000004</v>
      </c>
      <c r="E51" s="84"/>
      <c r="F51" s="248">
        <f>+F45</f>
        <v>195.35499999999999</v>
      </c>
      <c r="G51" s="84"/>
      <c r="H51" s="21">
        <f>+H45</f>
        <v>30.467999999999982</v>
      </c>
      <c r="I51" s="84"/>
      <c r="J51" s="21">
        <f>+J45</f>
        <v>106.15399999999998</v>
      </c>
      <c r="K51" s="84"/>
      <c r="L51" s="21">
        <f>+L45</f>
        <v>100.04400000000001</v>
      </c>
      <c r="M51" s="84"/>
      <c r="N51" s="21">
        <f>+N45</f>
        <v>42.610999999999997</v>
      </c>
      <c r="O51" s="84"/>
      <c r="P51" s="248">
        <f>+P45</f>
        <v>279.27700000000004</v>
      </c>
      <c r="Q51" s="84"/>
      <c r="R51" s="21">
        <f>+R45</f>
        <v>5.684999999999989</v>
      </c>
      <c r="S51" s="260"/>
      <c r="T51" s="21">
        <f>+T45</f>
        <v>85.832000000000008</v>
      </c>
      <c r="U51" s="84"/>
      <c r="V51" s="21">
        <f>+V45</f>
        <v>80.308999999999969</v>
      </c>
      <c r="W51" s="84"/>
      <c r="X51" s="21">
        <f>+X45</f>
        <v>-22.550999999999988</v>
      </c>
      <c r="Y51" s="84"/>
      <c r="Z51" s="248">
        <f>+Z45</f>
        <v>149.27499999999998</v>
      </c>
      <c r="AB51" s="21">
        <f>+AB45</f>
        <v>57.06900000000001</v>
      </c>
    </row>
    <row r="52" spans="1:28" ht="12.75" customHeight="1" x14ac:dyDescent="0.2">
      <c r="A52" s="101" t="s">
        <v>221</v>
      </c>
      <c r="B52" s="248">
        <v>0.502</v>
      </c>
      <c r="C52" s="84"/>
      <c r="D52" s="248">
        <v>20.946999999999999</v>
      </c>
      <c r="E52" s="84"/>
      <c r="F52" s="248">
        <v>37.198999999999998</v>
      </c>
      <c r="G52" s="139"/>
      <c r="H52" s="21">
        <v>12.032999999999999</v>
      </c>
      <c r="I52" s="84"/>
      <c r="J52" s="21">
        <v>5.3550000000000004</v>
      </c>
      <c r="K52" s="84"/>
      <c r="L52" s="21">
        <v>1.871</v>
      </c>
      <c r="M52" s="84"/>
      <c r="N52" s="21">
        <v>1.3160000000000001</v>
      </c>
      <c r="O52" s="84"/>
      <c r="P52" s="248">
        <f t="shared" si="6"/>
        <v>20.574999999999996</v>
      </c>
      <c r="Q52" s="139"/>
      <c r="R52" s="21">
        <v>17.327000000000002</v>
      </c>
      <c r="S52" s="84"/>
      <c r="T52" s="21">
        <v>5.4829999999999997</v>
      </c>
      <c r="U52" s="84"/>
      <c r="V52" s="21">
        <v>24.966999999999999</v>
      </c>
      <c r="W52" s="84"/>
      <c r="X52" s="21">
        <v>5.8109999999999999</v>
      </c>
      <c r="Y52" s="84"/>
      <c r="Z52" s="248">
        <f t="shared" si="7"/>
        <v>53.588000000000001</v>
      </c>
      <c r="AB52" s="21">
        <v>16.701000000000001</v>
      </c>
    </row>
    <row r="53" spans="1:28" ht="12.75" customHeight="1" x14ac:dyDescent="0.2">
      <c r="A53" s="101" t="s">
        <v>222</v>
      </c>
      <c r="B53" s="248">
        <v>48.2</v>
      </c>
      <c r="C53" s="84"/>
      <c r="D53" s="248">
        <v>0</v>
      </c>
      <c r="E53" s="84"/>
      <c r="F53" s="248">
        <v>0</v>
      </c>
      <c r="G53" s="139"/>
      <c r="H53" s="21">
        <v>0</v>
      </c>
      <c r="I53" s="84"/>
      <c r="J53" s="21">
        <v>0</v>
      </c>
      <c r="K53" s="84"/>
      <c r="L53" s="21">
        <v>0</v>
      </c>
      <c r="M53" s="84"/>
      <c r="N53" s="21">
        <v>0</v>
      </c>
      <c r="O53" s="84"/>
      <c r="P53" s="248">
        <f t="shared" si="6"/>
        <v>0</v>
      </c>
      <c r="Q53" s="139"/>
      <c r="R53" s="21">
        <v>0</v>
      </c>
      <c r="S53" s="84"/>
      <c r="T53" s="21">
        <v>0</v>
      </c>
      <c r="U53" s="84"/>
      <c r="V53" s="21">
        <v>0</v>
      </c>
      <c r="W53" s="84"/>
      <c r="X53" s="21">
        <v>0</v>
      </c>
      <c r="Y53" s="84"/>
      <c r="Z53" s="248">
        <f t="shared" si="7"/>
        <v>0</v>
      </c>
      <c r="AB53" s="21">
        <v>0</v>
      </c>
    </row>
    <row r="54" spans="1:28" ht="12.75" customHeight="1" x14ac:dyDescent="0.2">
      <c r="A54" s="101" t="s">
        <v>223</v>
      </c>
      <c r="B54" s="248">
        <v>0</v>
      </c>
      <c r="C54" s="84"/>
      <c r="D54" s="248">
        <v>0</v>
      </c>
      <c r="E54" s="84"/>
      <c r="F54" s="248">
        <v>0</v>
      </c>
      <c r="G54" s="139"/>
      <c r="H54" s="21">
        <v>0</v>
      </c>
      <c r="I54" s="84"/>
      <c r="J54" s="21">
        <v>0</v>
      </c>
      <c r="K54" s="84"/>
      <c r="L54" s="21">
        <v>0</v>
      </c>
      <c r="M54" s="84"/>
      <c r="N54" s="21">
        <v>0</v>
      </c>
      <c r="O54" s="84"/>
      <c r="P54" s="248">
        <f t="shared" si="6"/>
        <v>0</v>
      </c>
      <c r="Q54" s="139"/>
      <c r="R54" s="21">
        <v>0</v>
      </c>
      <c r="S54" s="84"/>
      <c r="T54" s="21">
        <v>0</v>
      </c>
      <c r="U54" s="84"/>
      <c r="V54" s="21">
        <v>0</v>
      </c>
      <c r="W54" s="84"/>
      <c r="X54" s="21">
        <v>25.875</v>
      </c>
      <c r="Y54" s="84"/>
      <c r="Z54" s="248">
        <f t="shared" si="7"/>
        <v>25.875</v>
      </c>
      <c r="AB54" s="21">
        <v>0</v>
      </c>
    </row>
    <row r="55" spans="1:28" ht="12.75" customHeight="1" x14ac:dyDescent="0.2">
      <c r="A55" s="252" t="s">
        <v>219</v>
      </c>
      <c r="B55" s="253">
        <f>SUM(B51:B54)</f>
        <v>99.583000000000013</v>
      </c>
      <c r="C55" s="84"/>
      <c r="D55" s="253">
        <f>SUM(D51:D54)</f>
        <v>207.50900000000004</v>
      </c>
      <c r="E55" s="84"/>
      <c r="F55" s="253">
        <f>SUM(F51:F54)</f>
        <v>232.55399999999997</v>
      </c>
      <c r="G55" s="139"/>
      <c r="H55" s="142">
        <f>SUM(H51:H54)</f>
        <v>42.500999999999983</v>
      </c>
      <c r="I55" s="38"/>
      <c r="J55" s="142">
        <f>SUM(J51:J54)</f>
        <v>111.50899999999999</v>
      </c>
      <c r="K55" s="38"/>
      <c r="L55" s="142">
        <f>SUM(L51:L54)</f>
        <v>101.91500000000001</v>
      </c>
      <c r="M55" s="38"/>
      <c r="N55" s="142">
        <f>SUM(N51:N54)</f>
        <v>43.927</v>
      </c>
      <c r="O55" s="38"/>
      <c r="P55" s="253">
        <f>SUM(P51:P54)</f>
        <v>299.85200000000003</v>
      </c>
      <c r="Q55" s="139"/>
      <c r="R55" s="142">
        <f>SUM(R51:R54)</f>
        <v>23.01199999999999</v>
      </c>
      <c r="S55" s="38"/>
      <c r="T55" s="142">
        <f>SUM(T51:T54)</f>
        <v>91.315000000000012</v>
      </c>
      <c r="U55" s="38"/>
      <c r="V55" s="142">
        <f>SUM(V51:V54)</f>
        <v>105.27599999999997</v>
      </c>
      <c r="W55" s="38"/>
      <c r="X55" s="142">
        <f>SUM(X51:X54)</f>
        <v>9.1350000000000122</v>
      </c>
      <c r="Y55" s="38"/>
      <c r="Z55" s="253">
        <f>SUM(Z51:Z54)</f>
        <v>228.73799999999997</v>
      </c>
      <c r="AB55" s="142">
        <f>SUM(AB51:AB54)</f>
        <v>73.77000000000001</v>
      </c>
    </row>
    <row r="56" spans="1:28" ht="12.75" customHeight="1" x14ac:dyDescent="0.2">
      <c r="A56" s="252"/>
      <c r="B56" s="248"/>
      <c r="C56" s="84"/>
      <c r="D56" s="248"/>
      <c r="E56" s="84"/>
      <c r="F56" s="248"/>
      <c r="G56" s="139"/>
      <c r="H56" s="45"/>
      <c r="I56" s="38"/>
      <c r="J56" s="45"/>
      <c r="K56" s="38"/>
      <c r="L56" s="45"/>
      <c r="M56" s="38"/>
      <c r="N56" s="45"/>
      <c r="O56" s="38"/>
      <c r="P56" s="248"/>
      <c r="Q56" s="139"/>
      <c r="R56" s="45"/>
      <c r="S56" s="38"/>
      <c r="T56" s="45"/>
      <c r="U56" s="38"/>
      <c r="V56" s="45"/>
      <c r="W56" s="38"/>
      <c r="X56" s="45"/>
      <c r="Y56" s="38"/>
      <c r="Z56" s="248"/>
      <c r="AB56" s="45"/>
    </row>
    <row r="57" spans="1:28" ht="12.75" customHeight="1" thickBot="1" x14ac:dyDescent="0.25">
      <c r="A57" s="112"/>
      <c r="B57" s="134"/>
      <c r="C57" s="84"/>
      <c r="D57" s="134"/>
      <c r="E57" s="84"/>
      <c r="F57" s="134"/>
      <c r="G57" s="84"/>
      <c r="H57" s="245"/>
      <c r="I57" s="84"/>
      <c r="J57" s="245"/>
      <c r="K57" s="84"/>
      <c r="L57" s="84"/>
      <c r="M57" s="84"/>
      <c r="N57" s="84"/>
      <c r="O57" s="84"/>
      <c r="P57" s="134"/>
      <c r="Q57" s="84"/>
      <c r="R57" s="245"/>
      <c r="S57" s="245"/>
      <c r="T57" s="84"/>
      <c r="U57" s="84"/>
      <c r="V57" s="84"/>
      <c r="W57" s="84"/>
      <c r="X57" s="84"/>
      <c r="Y57" s="84"/>
      <c r="Z57" s="134"/>
    </row>
    <row r="58" spans="1:28" ht="12.75" customHeight="1" x14ac:dyDescent="0.2">
      <c r="A58" s="112"/>
      <c r="B58" s="145"/>
      <c r="D58" s="145"/>
      <c r="F58" s="145"/>
      <c r="M58" s="145"/>
      <c r="N58" s="145"/>
      <c r="O58" s="145"/>
      <c r="P58" s="261"/>
    </row>
    <row r="59" spans="1:28" ht="12.75" customHeight="1" x14ac:dyDescent="0.2"/>
    <row r="60" spans="1:28" ht="12.75" customHeight="1" x14ac:dyDescent="0.2">
      <c r="A60" s="84" t="s">
        <v>147</v>
      </c>
    </row>
    <row r="61" spans="1:28" ht="12.75" customHeight="1" x14ac:dyDescent="0.2"/>
  </sheetData>
  <mergeCells count="4">
    <mergeCell ref="H3:P3"/>
    <mergeCell ref="R3:Z3"/>
    <mergeCell ref="H5:N5"/>
    <mergeCell ref="R5:X5"/>
  </mergeCells>
  <printOptions horizontalCentered="1"/>
  <pageMargins left="0.7" right="0.7" top="1" bottom="0.75" header="0.3" footer="0.3"/>
  <pageSetup paperSize="3" scale="86" orientation="landscape" r:id="rId1"/>
  <headerFooter alignWithMargins="0">
    <oddHeader>&amp;L&amp;G</oddHeader>
    <oddFooter>&amp;C&amp;8PTC Investor Relations
Tel: (781) 370 6359</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AE46"/>
  <sheetViews>
    <sheetView zoomScale="85" zoomScaleNormal="85" workbookViewId="0">
      <pane xSplit="1" ySplit="6" topLeftCell="B7" activePane="bottomRight" state="frozen"/>
      <selection activeCell="AD36" sqref="AD36"/>
      <selection pane="topRight" activeCell="AD36" sqref="AD36"/>
      <selection pane="bottomLeft" activeCell="AD36" sqref="AD36"/>
      <selection pane="bottomRight" activeCell="A2" sqref="A2"/>
    </sheetView>
  </sheetViews>
  <sheetFormatPr defaultColWidth="9.140625" defaultRowHeight="12.75" x14ac:dyDescent="0.2"/>
  <cols>
    <col min="1" max="1" width="61.85546875" style="1" bestFit="1" customWidth="1"/>
    <col min="2" max="2" width="11.85546875" style="1" customWidth="1"/>
    <col min="3" max="3" width="1.140625" style="1" customWidth="1"/>
    <col min="4" max="4" width="11.85546875" style="1" customWidth="1"/>
    <col min="5" max="5" width="1.140625" style="1" customWidth="1"/>
    <col min="6" max="6" width="11.85546875" style="1" customWidth="1"/>
    <col min="7" max="7" width="1.140625" style="1" customWidth="1"/>
    <col min="8" max="8" width="10.7109375" style="1" customWidth="1"/>
    <col min="9" max="9" width="1.140625" style="1" customWidth="1"/>
    <col min="10" max="10" width="10.7109375" style="185" customWidth="1"/>
    <col min="11" max="11" width="1.140625" style="1" customWidth="1"/>
    <col min="12" max="12" width="10.7109375" style="1" customWidth="1"/>
    <col min="13" max="13" width="1.140625" style="1" customWidth="1"/>
    <col min="14" max="14" width="10.7109375" style="1" customWidth="1"/>
    <col min="15" max="15" width="1.140625" style="186" customWidth="1"/>
    <col min="16" max="16" width="11.85546875" style="1" customWidth="1"/>
    <col min="17" max="17" width="1.140625" style="1" customWidth="1"/>
    <col min="18" max="18" width="9.5703125" style="1" bestFit="1" customWidth="1"/>
    <col min="19" max="19" width="1.140625" style="1" customWidth="1"/>
    <col min="20" max="20" width="9.5703125" style="1" bestFit="1" customWidth="1"/>
    <col min="21" max="21" width="1.140625" style="1" customWidth="1"/>
    <col min="22" max="22" width="10.7109375" style="1" customWidth="1"/>
    <col min="23" max="23" width="1.140625" style="1" customWidth="1"/>
    <col min="24" max="24" width="10.7109375" style="1" customWidth="1"/>
    <col min="25" max="25" width="1.140625" style="186" customWidth="1"/>
    <col min="26" max="26" width="11.85546875" style="1" customWidth="1"/>
    <col min="27" max="27" width="1.28515625" style="1" customWidth="1"/>
    <col min="28" max="29" width="9.140625" style="1"/>
    <col min="30" max="30" width="24.28515625" style="1" bestFit="1" customWidth="1"/>
    <col min="31" max="16384" width="9.140625" style="1"/>
  </cols>
  <sheetData>
    <row r="1" spans="1:31" ht="12.75" customHeight="1" x14ac:dyDescent="0.2">
      <c r="A1" s="17" t="s">
        <v>161</v>
      </c>
      <c r="B1" s="4"/>
      <c r="C1" s="4"/>
      <c r="D1" s="4"/>
      <c r="E1" s="4"/>
      <c r="F1" s="4"/>
      <c r="G1" s="4"/>
      <c r="H1" s="4"/>
      <c r="I1" s="4"/>
      <c r="J1" s="4"/>
      <c r="K1" s="4"/>
      <c r="L1" s="4"/>
      <c r="M1" s="4"/>
      <c r="N1" s="4"/>
      <c r="O1" s="4"/>
      <c r="P1" s="4"/>
      <c r="Q1" s="4"/>
      <c r="R1" s="4"/>
      <c r="S1" s="4"/>
      <c r="T1" s="4"/>
      <c r="U1" s="4"/>
      <c r="V1" s="4"/>
      <c r="W1" s="4"/>
      <c r="X1" s="4"/>
      <c r="Y1" s="4"/>
    </row>
    <row r="2" spans="1:31" ht="12.75" customHeight="1" thickBot="1" x14ac:dyDescent="0.25">
      <c r="J2" s="1"/>
      <c r="O2" s="1"/>
      <c r="Y2" s="1"/>
    </row>
    <row r="3" spans="1:31" s="3" customFormat="1" ht="12.75" customHeight="1" thickBot="1" x14ac:dyDescent="0.25">
      <c r="B3" s="27" t="s">
        <v>6</v>
      </c>
      <c r="C3" s="1"/>
      <c r="D3" s="27" t="s">
        <v>5</v>
      </c>
      <c r="E3" s="1"/>
      <c r="F3" s="27" t="s">
        <v>4</v>
      </c>
      <c r="H3" s="262" t="s">
        <v>3</v>
      </c>
      <c r="I3" s="263"/>
      <c r="J3" s="263"/>
      <c r="K3" s="263"/>
      <c r="L3" s="263"/>
      <c r="M3" s="263"/>
      <c r="N3" s="263"/>
      <c r="O3" s="263"/>
      <c r="P3" s="264"/>
      <c r="R3" s="262" t="s">
        <v>2</v>
      </c>
      <c r="S3" s="263"/>
      <c r="T3" s="263"/>
      <c r="U3" s="263"/>
      <c r="V3" s="263"/>
      <c r="W3" s="263"/>
      <c r="X3" s="263"/>
      <c r="Y3" s="263"/>
      <c r="Z3" s="264"/>
      <c r="AB3" s="27" t="s">
        <v>149</v>
      </c>
    </row>
    <row r="4" spans="1:31" s="3" customFormat="1" ht="12.75" customHeight="1" thickBot="1" x14ac:dyDescent="0.25"/>
    <row r="5" spans="1:31" s="3" customFormat="1" ht="12.75" customHeight="1" x14ac:dyDescent="0.2">
      <c r="B5" s="10" t="s">
        <v>1</v>
      </c>
      <c r="D5" s="10" t="s">
        <v>1</v>
      </c>
      <c r="F5" s="10" t="s">
        <v>1</v>
      </c>
      <c r="H5" s="265" t="s">
        <v>0</v>
      </c>
      <c r="I5" s="265"/>
      <c r="J5" s="265"/>
      <c r="K5" s="265"/>
      <c r="L5" s="265"/>
      <c r="M5" s="265"/>
      <c r="N5" s="265"/>
      <c r="P5" s="10" t="s">
        <v>1</v>
      </c>
      <c r="R5" s="265" t="s">
        <v>45</v>
      </c>
      <c r="S5" s="265"/>
      <c r="T5" s="265"/>
      <c r="U5" s="265"/>
      <c r="V5" s="265"/>
      <c r="W5" s="265"/>
      <c r="X5" s="265"/>
      <c r="Z5" s="10" t="s">
        <v>1</v>
      </c>
      <c r="AB5" s="162" t="s">
        <v>150</v>
      </c>
    </row>
    <row r="6" spans="1:31" s="2" customFormat="1" ht="12.75" customHeight="1" x14ac:dyDescent="0.2">
      <c r="A6" s="5"/>
      <c r="B6" s="12">
        <v>40816</v>
      </c>
      <c r="D6" s="12">
        <v>41182</v>
      </c>
      <c r="F6" s="12">
        <v>41547</v>
      </c>
      <c r="H6" s="11">
        <v>41636</v>
      </c>
      <c r="J6" s="11">
        <v>41727</v>
      </c>
      <c r="L6" s="11">
        <v>41818</v>
      </c>
      <c r="N6" s="11">
        <v>41912</v>
      </c>
      <c r="P6" s="12">
        <v>41912</v>
      </c>
      <c r="R6" s="11">
        <v>42007</v>
      </c>
      <c r="S6" s="13"/>
      <c r="T6" s="11">
        <v>42098</v>
      </c>
      <c r="V6" s="11">
        <v>42189</v>
      </c>
      <c r="X6" s="11">
        <v>41912</v>
      </c>
      <c r="Z6" s="12">
        <v>42277</v>
      </c>
      <c r="AB6" s="11">
        <v>42371</v>
      </c>
    </row>
    <row r="7" spans="1:31" s="169" customFormat="1" ht="12.75" customHeight="1" x14ac:dyDescent="0.2">
      <c r="A7" s="14"/>
      <c r="B7" s="166"/>
      <c r="C7" s="24"/>
      <c r="D7" s="166"/>
      <c r="E7" s="24"/>
      <c r="F7" s="166"/>
      <c r="G7" s="24"/>
      <c r="H7" s="167"/>
      <c r="I7" s="24"/>
      <c r="J7" s="167"/>
      <c r="K7" s="24"/>
      <c r="L7" s="168"/>
      <c r="M7" s="24"/>
      <c r="N7" s="168"/>
      <c r="O7" s="24"/>
      <c r="P7" s="166"/>
      <c r="Q7" s="24"/>
      <c r="R7" s="167"/>
      <c r="S7" s="167"/>
      <c r="T7" s="168"/>
      <c r="U7" s="24"/>
      <c r="V7" s="168"/>
      <c r="W7" s="24"/>
      <c r="X7" s="168"/>
      <c r="Y7" s="24"/>
      <c r="Z7" s="166"/>
      <c r="AB7" s="167"/>
    </row>
    <row r="8" spans="1:31" s="169" customFormat="1" ht="12.75" customHeight="1" x14ac:dyDescent="0.2">
      <c r="A8" s="5" t="s">
        <v>162</v>
      </c>
      <c r="B8" s="166"/>
      <c r="C8" s="24"/>
      <c r="D8" s="166"/>
      <c r="E8" s="24"/>
      <c r="F8" s="166"/>
      <c r="G8" s="24"/>
      <c r="H8" s="167"/>
      <c r="I8" s="24"/>
      <c r="J8" s="167"/>
      <c r="K8" s="24"/>
      <c r="L8" s="168"/>
      <c r="M8" s="24"/>
      <c r="N8" s="168"/>
      <c r="O8" s="24"/>
      <c r="P8" s="166"/>
      <c r="Q8" s="24"/>
      <c r="R8" s="167"/>
      <c r="S8" s="167"/>
      <c r="T8" s="168"/>
      <c r="U8" s="24"/>
      <c r="V8" s="168"/>
      <c r="W8" s="24"/>
      <c r="X8" s="168"/>
      <c r="Y8" s="24"/>
      <c r="Z8" s="166"/>
      <c r="AB8" s="167"/>
    </row>
    <row r="9" spans="1:31" s="169" customFormat="1" ht="12.75" customHeight="1" x14ac:dyDescent="0.2">
      <c r="A9" s="15" t="s">
        <v>151</v>
      </c>
      <c r="B9" s="170">
        <v>-0.83899999999999997</v>
      </c>
      <c r="C9" s="171"/>
      <c r="D9" s="170">
        <v>-0.995</v>
      </c>
      <c r="E9" s="171"/>
      <c r="F9" s="170">
        <v>16116.810511999998</v>
      </c>
      <c r="G9" s="171"/>
      <c r="H9" s="172">
        <v>0.4186921203222802</v>
      </c>
      <c r="I9" s="171"/>
      <c r="J9" s="172">
        <v>0.27485071471309724</v>
      </c>
      <c r="K9" s="171"/>
      <c r="L9" s="172">
        <v>2.1088904493644223</v>
      </c>
      <c r="M9" s="171"/>
      <c r="N9" s="172">
        <v>4.4249212774732927</v>
      </c>
      <c r="O9" s="171"/>
      <c r="P9" s="170">
        <v>1.6938677954073147</v>
      </c>
      <c r="Q9" s="171"/>
      <c r="R9" s="172">
        <v>2.8713766296545606</v>
      </c>
      <c r="S9" s="171"/>
      <c r="T9" s="172">
        <v>3.3882069258399352</v>
      </c>
      <c r="U9" s="171"/>
      <c r="V9" s="172">
        <v>1.3485733102580411</v>
      </c>
      <c r="W9" s="171"/>
      <c r="X9" s="172">
        <v>0.44007657384011095</v>
      </c>
      <c r="Y9" s="171"/>
      <c r="Z9" s="170">
        <v>1.404111725702605</v>
      </c>
      <c r="AB9" s="172">
        <v>0.5583160349109173</v>
      </c>
    </row>
    <row r="10" spans="1:31" s="169" customFormat="1" ht="12.75" customHeight="1" x14ac:dyDescent="0.2">
      <c r="A10" s="16" t="s">
        <v>48</v>
      </c>
      <c r="B10" s="173">
        <v>0.12339501472537484</v>
      </c>
      <c r="C10" s="171"/>
      <c r="D10" s="173">
        <v>9.7305255003783619E-2</v>
      </c>
      <c r="E10" s="171"/>
      <c r="F10" s="173">
        <v>6.9834935606747806E-2</v>
      </c>
      <c r="G10" s="171"/>
      <c r="H10" s="174">
        <v>3.8679339088341161E-2</v>
      </c>
      <c r="I10" s="171"/>
      <c r="J10" s="174">
        <v>3.1482922229032477E-2</v>
      </c>
      <c r="K10" s="171"/>
      <c r="L10" s="174">
        <v>5.823612856849629E-2</v>
      </c>
      <c r="M10" s="171"/>
      <c r="N10" s="174">
        <v>7.7456422948734699E-2</v>
      </c>
      <c r="O10" s="171"/>
      <c r="P10" s="173">
        <v>5.1663588932656171E-2</v>
      </c>
      <c r="Q10" s="171"/>
      <c r="R10" s="174">
        <v>6.7514744157861462E-2</v>
      </c>
      <c r="S10" s="171"/>
      <c r="T10" s="174">
        <v>1.4903684581895955E-2</v>
      </c>
      <c r="U10" s="171"/>
      <c r="V10" s="174">
        <v>-3.6821948022098754E-2</v>
      </c>
      <c r="W10" s="171"/>
      <c r="X10" s="174">
        <v>-8.111881656814704E-2</v>
      </c>
      <c r="Y10" s="171"/>
      <c r="Z10" s="173">
        <v>-1.0135046811773907E-2</v>
      </c>
      <c r="AB10" s="174">
        <v>-5.4359802529622359E-2</v>
      </c>
    </row>
    <row r="11" spans="1:31" s="169" customFormat="1" ht="12.75" customHeight="1" x14ac:dyDescent="0.2">
      <c r="A11" s="54" t="s">
        <v>153</v>
      </c>
      <c r="B11" s="170">
        <v>0.12339501472537484</v>
      </c>
      <c r="C11" s="171"/>
      <c r="D11" s="170">
        <v>9.7305255003783619E-2</v>
      </c>
      <c r="E11" s="171"/>
      <c r="F11" s="170">
        <v>8.6298042738739464E-2</v>
      </c>
      <c r="G11" s="171"/>
      <c r="H11" s="172">
        <v>4.4593662018136644E-2</v>
      </c>
      <c r="I11" s="171"/>
      <c r="J11" s="172">
        <v>3.5664965884868532E-2</v>
      </c>
      <c r="K11" s="171"/>
      <c r="L11" s="172">
        <v>8.7453529892200635E-2</v>
      </c>
      <c r="M11" s="171"/>
      <c r="N11" s="172">
        <v>0.13688195420593238</v>
      </c>
      <c r="O11" s="171"/>
      <c r="P11" s="170">
        <v>7.6549485996079067E-2</v>
      </c>
      <c r="Q11" s="171"/>
      <c r="R11" s="172">
        <v>0.12678055318766457</v>
      </c>
      <c r="S11" s="171"/>
      <c r="T11" s="172">
        <v>8.6258106057182496E-2</v>
      </c>
      <c r="U11" s="171"/>
      <c r="V11" s="172">
        <v>1.9609024744101825E-2</v>
      </c>
      <c r="W11" s="171"/>
      <c r="X11" s="172">
        <v>-4.7123771078827655E-2</v>
      </c>
      <c r="Y11" s="171"/>
      <c r="Z11" s="170">
        <v>4.3493189988417669E-2</v>
      </c>
      <c r="AB11" s="172">
        <v>-9.8654968305487509E-3</v>
      </c>
    </row>
    <row r="12" spans="1:31" s="169" customFormat="1" ht="12.75" customHeight="1" x14ac:dyDescent="0.2">
      <c r="A12" s="15" t="s">
        <v>152</v>
      </c>
      <c r="B12" s="173">
        <v>0.15573219467537758</v>
      </c>
      <c r="C12" s="172"/>
      <c r="D12" s="173">
        <v>1.8335618100028928E-2</v>
      </c>
      <c r="E12" s="172"/>
      <c r="F12" s="173">
        <v>-1.2010972614455348E-2</v>
      </c>
      <c r="G12" s="172"/>
      <c r="H12" s="174">
        <v>9.1400075880892728E-5</v>
      </c>
      <c r="I12" s="172"/>
      <c r="J12" s="174">
        <v>6.6035637413489154E-2</v>
      </c>
      <c r="K12" s="172"/>
      <c r="L12" s="174">
        <v>0.13136030801951964</v>
      </c>
      <c r="M12" s="172"/>
      <c r="N12" s="174">
        <v>2.4916645828707805E-2</v>
      </c>
      <c r="O12" s="171"/>
      <c r="P12" s="173">
        <v>5.3434354832442597E-2</v>
      </c>
      <c r="Q12" s="172"/>
      <c r="R12" s="174">
        <v>-0.18239377276291849</v>
      </c>
      <c r="S12" s="172"/>
      <c r="T12" s="174">
        <v>-0.17380425894974863</v>
      </c>
      <c r="U12" s="172"/>
      <c r="V12" s="174">
        <v>-0.26136533946253626</v>
      </c>
      <c r="W12" s="172"/>
      <c r="X12" s="174">
        <v>-0.24991551386104852</v>
      </c>
      <c r="Y12" s="171"/>
      <c r="Z12" s="173">
        <v>-0.22018873748419832</v>
      </c>
      <c r="AA12" s="175"/>
      <c r="AB12" s="174">
        <v>-0.2623206117600721</v>
      </c>
      <c r="AC12" s="175"/>
      <c r="AD12" s="175"/>
      <c r="AE12" s="175"/>
    </row>
    <row r="13" spans="1:31" s="169" customFormat="1" ht="12.75" customHeight="1" x14ac:dyDescent="0.2">
      <c r="A13" s="3" t="s">
        <v>148</v>
      </c>
      <c r="B13" s="170">
        <v>0.13547472815079442</v>
      </c>
      <c r="C13" s="172"/>
      <c r="D13" s="170">
        <v>6.7279470192787461E-2</v>
      </c>
      <c r="E13" s="172"/>
      <c r="F13" s="170">
        <v>5.0632225979005296E-2</v>
      </c>
      <c r="G13" s="172"/>
      <c r="H13" s="172">
        <v>3.024433912410791E-2</v>
      </c>
      <c r="I13" s="172"/>
      <c r="J13" s="172">
        <v>4.5596881072295231E-2</v>
      </c>
      <c r="K13" s="172"/>
      <c r="L13" s="172">
        <v>0.10178423998022336</v>
      </c>
      <c r="M13" s="172"/>
      <c r="N13" s="172">
        <v>9.3938814557894171E-2</v>
      </c>
      <c r="O13" s="171"/>
      <c r="P13" s="170">
        <v>6.8664520646195104E-2</v>
      </c>
      <c r="Q13" s="172"/>
      <c r="R13" s="172">
        <v>3.0007999598674982E-2</v>
      </c>
      <c r="S13" s="172"/>
      <c r="T13" s="172">
        <v>-4.5077052721240836E-4</v>
      </c>
      <c r="U13" s="172"/>
      <c r="V13" s="172">
        <v>-7.4559815076524719E-2</v>
      </c>
      <c r="W13" s="172"/>
      <c r="X13" s="172">
        <v>-0.11999500020421228</v>
      </c>
      <c r="Y13" s="171"/>
      <c r="Z13" s="170">
        <v>-4.5180450701473807E-2</v>
      </c>
      <c r="AA13" s="175"/>
      <c r="AB13" s="172">
        <v>-7.2589901160367468E-2</v>
      </c>
      <c r="AC13" s="175"/>
      <c r="AD13" s="175"/>
      <c r="AE13" s="175"/>
    </row>
    <row r="14" spans="1:31" s="169" customFormat="1" ht="12.75" customHeight="1" x14ac:dyDescent="0.2">
      <c r="A14" s="18" t="s">
        <v>49</v>
      </c>
      <c r="B14" s="173">
        <v>0.22767754565591014</v>
      </c>
      <c r="C14" s="172"/>
      <c r="D14" s="173">
        <v>0.1055287291783642</v>
      </c>
      <c r="E14" s="172"/>
      <c r="F14" s="173">
        <v>-3.643911126761501E-2</v>
      </c>
      <c r="G14" s="172"/>
      <c r="H14" s="174">
        <v>-3.038408970053184E-2</v>
      </c>
      <c r="I14" s="172"/>
      <c r="J14" s="174">
        <v>5.1806403304712034E-2</v>
      </c>
      <c r="K14" s="172"/>
      <c r="L14" s="174">
        <v>-4.6727556283001292E-2</v>
      </c>
      <c r="M14" s="172"/>
      <c r="N14" s="174">
        <v>-5.6613070576731726E-2</v>
      </c>
      <c r="O14" s="171"/>
      <c r="P14" s="173">
        <v>-2.057066554220266E-2</v>
      </c>
      <c r="Q14" s="172"/>
      <c r="R14" s="174">
        <v>-9.8384007572784204E-2</v>
      </c>
      <c r="S14" s="172"/>
      <c r="T14" s="174">
        <v>-0.1957249552394216</v>
      </c>
      <c r="U14" s="172"/>
      <c r="V14" s="174">
        <v>-0.20042299084733708</v>
      </c>
      <c r="W14" s="172"/>
      <c r="X14" s="174">
        <v>-0.27360758873509994</v>
      </c>
      <c r="Y14" s="171"/>
      <c r="Z14" s="173">
        <v>-0.19017601515466809</v>
      </c>
      <c r="AA14" s="175"/>
      <c r="AB14" s="174">
        <v>-0.23935285009619256</v>
      </c>
      <c r="AC14" s="175"/>
      <c r="AD14" s="175"/>
      <c r="AE14" s="175"/>
    </row>
    <row r="15" spans="1:31" s="169" customFormat="1" ht="12.75" customHeight="1" x14ac:dyDescent="0.2">
      <c r="A15" s="3" t="s">
        <v>8</v>
      </c>
      <c r="B15" s="170">
        <v>0.15533899840502796</v>
      </c>
      <c r="C15" s="172"/>
      <c r="D15" s="170">
        <v>7.6035885030108386E-2</v>
      </c>
      <c r="E15" s="172"/>
      <c r="F15" s="170">
        <v>3.0152610659252899E-2</v>
      </c>
      <c r="G15" s="172"/>
      <c r="H15" s="172">
        <v>1.618071315474684E-2</v>
      </c>
      <c r="I15" s="172"/>
      <c r="J15" s="172">
        <v>4.6986651817506761E-2</v>
      </c>
      <c r="K15" s="172"/>
      <c r="L15" s="172">
        <v>6.8691551567648751E-2</v>
      </c>
      <c r="M15" s="172"/>
      <c r="N15" s="172">
        <v>6.339885332531002E-2</v>
      </c>
      <c r="O15" s="171"/>
      <c r="P15" s="170">
        <v>4.9032712079250196E-2</v>
      </c>
      <c r="Q15" s="172"/>
      <c r="R15" s="172">
        <v>1.5903753538352682E-3</v>
      </c>
      <c r="S15" s="172"/>
      <c r="T15" s="172">
        <v>-4.4356831685585983E-2</v>
      </c>
      <c r="U15" s="172"/>
      <c r="V15" s="172">
        <v>-9.9576770100696751E-2</v>
      </c>
      <c r="W15" s="172"/>
      <c r="X15" s="172">
        <v>-0.14763911948381739</v>
      </c>
      <c r="Y15" s="171"/>
      <c r="Z15" s="170">
        <v>-7.4963075449846372E-2</v>
      </c>
      <c r="AA15" s="175"/>
      <c r="AB15" s="172">
        <v>-0.10581611144148134</v>
      </c>
      <c r="AC15" s="175"/>
      <c r="AD15" s="175"/>
      <c r="AE15" s="175"/>
    </row>
    <row r="16" spans="1:31" s="169" customFormat="1" ht="12.75" customHeight="1" x14ac:dyDescent="0.2">
      <c r="A16" s="18"/>
      <c r="B16" s="170"/>
      <c r="C16" s="172"/>
      <c r="D16" s="170"/>
      <c r="E16" s="172"/>
      <c r="F16" s="170"/>
      <c r="G16" s="172"/>
      <c r="H16" s="172"/>
      <c r="I16" s="172"/>
      <c r="J16" s="172"/>
      <c r="K16" s="172"/>
      <c r="L16" s="172"/>
      <c r="M16" s="172"/>
      <c r="N16" s="172"/>
      <c r="O16" s="171"/>
      <c r="P16" s="170"/>
      <c r="Q16" s="172"/>
      <c r="R16" s="172"/>
      <c r="S16" s="172"/>
      <c r="T16" s="172"/>
      <c r="U16" s="172"/>
      <c r="V16" s="172"/>
      <c r="W16" s="172"/>
      <c r="X16" s="172"/>
      <c r="Y16" s="171"/>
      <c r="Z16" s="170"/>
      <c r="AA16" s="175"/>
      <c r="AB16" s="172"/>
      <c r="AC16" s="175"/>
      <c r="AD16" s="175"/>
      <c r="AE16" s="175"/>
    </row>
    <row r="17" spans="1:31" s="169" customFormat="1" ht="12.75" customHeight="1" x14ac:dyDescent="0.2">
      <c r="A17" s="5" t="s">
        <v>163</v>
      </c>
      <c r="B17" s="166"/>
      <c r="C17" s="24"/>
      <c r="D17" s="166"/>
      <c r="E17" s="24"/>
      <c r="F17" s="166"/>
      <c r="G17" s="24"/>
      <c r="H17" s="167"/>
      <c r="I17" s="24"/>
      <c r="J17" s="167"/>
      <c r="K17" s="24"/>
      <c r="L17" s="167"/>
      <c r="M17" s="24"/>
      <c r="N17" s="167"/>
      <c r="O17" s="24"/>
      <c r="P17" s="166"/>
      <c r="Q17" s="24"/>
      <c r="R17" s="167"/>
      <c r="S17" s="24"/>
      <c r="T17" s="167"/>
      <c r="U17" s="24"/>
      <c r="V17" s="167"/>
      <c r="W17" s="24"/>
      <c r="X17" s="167"/>
      <c r="Y17" s="24"/>
      <c r="Z17" s="166"/>
      <c r="AB17" s="167"/>
    </row>
    <row r="18" spans="1:31" s="169" customFormat="1" ht="12.75" customHeight="1" x14ac:dyDescent="0.2">
      <c r="A18" s="15" t="s">
        <v>151</v>
      </c>
      <c r="B18" s="170">
        <v>-0.83899999999999997</v>
      </c>
      <c r="C18" s="171"/>
      <c r="D18" s="170">
        <v>-0.995</v>
      </c>
      <c r="E18" s="171"/>
      <c r="F18" s="170">
        <v>16116.810511999998</v>
      </c>
      <c r="G18" s="171"/>
      <c r="H18" s="172">
        <v>0.4186921203222802</v>
      </c>
      <c r="I18" s="171"/>
      <c r="J18" s="172">
        <v>0.27485071471309724</v>
      </c>
      <c r="K18" s="171"/>
      <c r="L18" s="172">
        <v>2.1088904493644223</v>
      </c>
      <c r="M18" s="171"/>
      <c r="N18" s="172">
        <v>4.628048315834568</v>
      </c>
      <c r="O18" s="171"/>
      <c r="P18" s="170">
        <v>1.7405752560415924</v>
      </c>
      <c r="Q18" s="171"/>
      <c r="R18" s="172">
        <v>3.0570000084244193</v>
      </c>
      <c r="S18" s="171"/>
      <c r="T18" s="172">
        <v>3.5523014177843684</v>
      </c>
      <c r="U18" s="171"/>
      <c r="V18" s="172">
        <v>1.3968506846450708</v>
      </c>
      <c r="W18" s="171"/>
      <c r="X18" s="172">
        <v>0.40392935261340046</v>
      </c>
      <c r="Y18" s="171"/>
      <c r="Z18" s="170">
        <v>1.4294422842836587</v>
      </c>
      <c r="AB18" s="172">
        <v>0.49962234154217949</v>
      </c>
    </row>
    <row r="19" spans="1:31" s="169" customFormat="1" ht="12.75" customHeight="1" x14ac:dyDescent="0.2">
      <c r="A19" s="16" t="s">
        <v>48</v>
      </c>
      <c r="B19" s="173">
        <v>0.12864458061890915</v>
      </c>
      <c r="C19" s="171"/>
      <c r="D19" s="173">
        <v>9.66367056706956E-2</v>
      </c>
      <c r="E19" s="171"/>
      <c r="F19" s="173">
        <v>7.0449109802884047E-2</v>
      </c>
      <c r="G19" s="171"/>
      <c r="H19" s="174">
        <v>2.892638356507362E-2</v>
      </c>
      <c r="I19" s="171"/>
      <c r="J19" s="174">
        <v>2.7277686759170579E-2</v>
      </c>
      <c r="K19" s="171"/>
      <c r="L19" s="174">
        <v>5.4768925135334899E-2</v>
      </c>
      <c r="M19" s="171"/>
      <c r="N19" s="174">
        <v>7.768358760445622E-2</v>
      </c>
      <c r="O19" s="171"/>
      <c r="P19" s="173">
        <v>4.7340626250431575E-2</v>
      </c>
      <c r="Q19" s="171"/>
      <c r="R19" s="174">
        <v>7.0245609783123997E-2</v>
      </c>
      <c r="S19" s="171"/>
      <c r="T19" s="174">
        <v>1.6502506717149167E-2</v>
      </c>
      <c r="U19" s="171"/>
      <c r="V19" s="174">
        <v>-3.6100359901852147E-2</v>
      </c>
      <c r="W19" s="171"/>
      <c r="X19" s="174">
        <v>-8.2650008083316226E-2</v>
      </c>
      <c r="Y19" s="171"/>
      <c r="Z19" s="173">
        <v>-9.331494519851713E-3</v>
      </c>
      <c r="AB19" s="174">
        <v>-5.6772743844030166E-2</v>
      </c>
    </row>
    <row r="20" spans="1:31" s="169" customFormat="1" ht="12.75" customHeight="1" x14ac:dyDescent="0.2">
      <c r="A20" s="54" t="s">
        <v>153</v>
      </c>
      <c r="B20" s="170">
        <v>0.12864458061890915</v>
      </c>
      <c r="C20" s="171"/>
      <c r="D20" s="170">
        <v>9.66367056706956E-2</v>
      </c>
      <c r="E20" s="171"/>
      <c r="F20" s="170">
        <v>8.6843168578398897E-2</v>
      </c>
      <c r="G20" s="171"/>
      <c r="H20" s="172">
        <v>3.4936415239051617E-2</v>
      </c>
      <c r="I20" s="171"/>
      <c r="J20" s="172">
        <v>3.1514945919878745E-2</v>
      </c>
      <c r="K20" s="171"/>
      <c r="L20" s="172">
        <v>8.3941198729715866E-2</v>
      </c>
      <c r="M20" s="171"/>
      <c r="N20" s="172">
        <v>0.139777306702178</v>
      </c>
      <c r="O20" s="171"/>
      <c r="P20" s="170">
        <v>7.288325517193045E-2</v>
      </c>
      <c r="Q20" s="171"/>
      <c r="R20" s="172">
        <v>0.13337725427819311</v>
      </c>
      <c r="S20" s="171"/>
      <c r="T20" s="172">
        <v>9.1294147938843259E-2</v>
      </c>
      <c r="U20" s="171"/>
      <c r="V20" s="172">
        <v>2.2267691300020081E-2</v>
      </c>
      <c r="W20" s="171"/>
      <c r="X20" s="172">
        <v>-4.9863666510493995E-2</v>
      </c>
      <c r="Y20" s="171"/>
      <c r="Z20" s="170">
        <v>4.6109351487374939E-2</v>
      </c>
      <c r="AB20" s="172">
        <v>-1.4674750840629264E-2</v>
      </c>
    </row>
    <row r="21" spans="1:31" s="169" customFormat="1" ht="12.75" customHeight="1" x14ac:dyDescent="0.2">
      <c r="A21" s="15" t="s">
        <v>152</v>
      </c>
      <c r="B21" s="173">
        <v>0.15573219467537758</v>
      </c>
      <c r="C21" s="172"/>
      <c r="D21" s="173">
        <v>1.8335618100028928E-2</v>
      </c>
      <c r="E21" s="172"/>
      <c r="F21" s="173">
        <v>-1.2010972614455348E-2</v>
      </c>
      <c r="G21" s="172"/>
      <c r="H21" s="174">
        <v>9.1400075880892728E-5</v>
      </c>
      <c r="I21" s="172"/>
      <c r="J21" s="174">
        <v>6.6035637413489154E-2</v>
      </c>
      <c r="K21" s="172"/>
      <c r="L21" s="174">
        <v>0.13136030801951964</v>
      </c>
      <c r="M21" s="172"/>
      <c r="N21" s="174">
        <v>2.7645327127089604E-2</v>
      </c>
      <c r="O21" s="171"/>
      <c r="P21" s="173">
        <v>5.4270156297931783E-2</v>
      </c>
      <c r="Q21" s="172"/>
      <c r="R21" s="174">
        <v>-0.18239377276291849</v>
      </c>
      <c r="S21" s="172"/>
      <c r="T21" s="174">
        <v>-0.17380330453133228</v>
      </c>
      <c r="U21" s="172"/>
      <c r="V21" s="174">
        <v>-0.26136533946253626</v>
      </c>
      <c r="W21" s="172"/>
      <c r="X21" s="174">
        <v>-0.25190719470219591</v>
      </c>
      <c r="Y21" s="171"/>
      <c r="Z21" s="173">
        <v>-0.22080948639536491</v>
      </c>
      <c r="AA21" s="175"/>
      <c r="AB21" s="174">
        <v>-0.2623206117600721</v>
      </c>
      <c r="AC21" s="175"/>
    </row>
    <row r="22" spans="1:31" s="169" customFormat="1" ht="12.75" customHeight="1" x14ac:dyDescent="0.2">
      <c r="A22" s="3" t="s">
        <v>148</v>
      </c>
      <c r="B22" s="170">
        <v>0.13876329275417931</v>
      </c>
      <c r="C22" s="172"/>
      <c r="D22" s="170">
        <v>6.695109180467762E-2</v>
      </c>
      <c r="E22" s="172"/>
      <c r="F22" s="170">
        <v>5.1073122811296195E-2</v>
      </c>
      <c r="G22" s="172"/>
      <c r="H22" s="172">
        <v>2.3771567598979654E-2</v>
      </c>
      <c r="I22" s="172"/>
      <c r="J22" s="172">
        <v>4.277353099370633E-2</v>
      </c>
      <c r="K22" s="172"/>
      <c r="L22" s="172">
        <v>9.9384588088718737E-2</v>
      </c>
      <c r="M22" s="172"/>
      <c r="N22" s="172">
        <v>9.6815134614185422E-2</v>
      </c>
      <c r="O22" s="171"/>
      <c r="P22" s="170">
        <v>6.6553715893562293E-2</v>
      </c>
      <c r="Q22" s="172"/>
      <c r="R22" s="172">
        <v>3.4539913683827528E-2</v>
      </c>
      <c r="S22" s="172"/>
      <c r="T22" s="172">
        <v>2.9064941218008801E-3</v>
      </c>
      <c r="U22" s="172"/>
      <c r="V22" s="172">
        <v>-7.2792203281946175E-2</v>
      </c>
      <c r="W22" s="172"/>
      <c r="X22" s="172">
        <v>-0.12239263520386601</v>
      </c>
      <c r="Y22" s="171"/>
      <c r="Z22" s="170">
        <v>-4.3631979527768872E-2</v>
      </c>
      <c r="AA22" s="175"/>
      <c r="AB22" s="172">
        <v>-7.593472159281249E-2</v>
      </c>
      <c r="AC22" s="175"/>
      <c r="AE22" s="176"/>
    </row>
    <row r="23" spans="1:31" s="169" customFormat="1" ht="12.75" customHeight="1" x14ac:dyDescent="0.2">
      <c r="A23" s="18" t="s">
        <v>49</v>
      </c>
      <c r="B23" s="173">
        <v>0.22767754565591014</v>
      </c>
      <c r="C23" s="172"/>
      <c r="D23" s="173">
        <v>0.1055287291783642</v>
      </c>
      <c r="E23" s="172"/>
      <c r="F23" s="173">
        <v>-3.6435725362461091E-2</v>
      </c>
      <c r="G23" s="172"/>
      <c r="H23" s="174">
        <v>-3.0403974688572075E-2</v>
      </c>
      <c r="I23" s="172"/>
      <c r="J23" s="174">
        <v>5.1806403304712034E-2</v>
      </c>
      <c r="K23" s="172"/>
      <c r="L23" s="174">
        <v>-4.6727556283001292E-2</v>
      </c>
      <c r="M23" s="172"/>
      <c r="N23" s="174">
        <v>-5.4565150670463962E-2</v>
      </c>
      <c r="O23" s="171"/>
      <c r="P23" s="173">
        <v>-2.0071614057157627E-2</v>
      </c>
      <c r="Q23" s="172"/>
      <c r="R23" s="174">
        <v>-9.4808084078417496E-2</v>
      </c>
      <c r="S23" s="172"/>
      <c r="T23" s="174">
        <v>-0.19197343897309613</v>
      </c>
      <c r="U23" s="172"/>
      <c r="V23" s="174">
        <v>-0.19579545636407372</v>
      </c>
      <c r="W23" s="172"/>
      <c r="X23" s="174">
        <v>-0.27070080197127361</v>
      </c>
      <c r="Y23" s="171"/>
      <c r="Z23" s="173">
        <v>-0.18650334027805171</v>
      </c>
      <c r="AA23" s="175"/>
      <c r="AB23" s="174">
        <v>-0.23761649080485364</v>
      </c>
      <c r="AC23" s="175"/>
      <c r="AE23" s="176"/>
    </row>
    <row r="24" spans="1:31" s="169" customFormat="1" ht="12.75" customHeight="1" x14ac:dyDescent="0.2">
      <c r="A24" s="3" t="s">
        <v>8</v>
      </c>
      <c r="B24" s="170">
        <v>0.15791907125297899</v>
      </c>
      <c r="C24" s="172"/>
      <c r="D24" s="170">
        <v>7.57630038775432E-2</v>
      </c>
      <c r="E24" s="172"/>
      <c r="F24" s="170">
        <v>3.0530201150247294E-2</v>
      </c>
      <c r="G24" s="172"/>
      <c r="H24" s="172">
        <v>1.1265311298640753E-2</v>
      </c>
      <c r="I24" s="172"/>
      <c r="J24" s="172">
        <v>4.4790963960182895E-2</v>
      </c>
      <c r="K24" s="172"/>
      <c r="L24" s="172">
        <v>6.6881747135387928E-2</v>
      </c>
      <c r="M24" s="172"/>
      <c r="N24" s="172">
        <v>6.6132686989490347E-2</v>
      </c>
      <c r="O24" s="171"/>
      <c r="P24" s="170">
        <v>4.7540620615918794E-2</v>
      </c>
      <c r="Q24" s="172"/>
      <c r="R24" s="172">
        <v>5.9106957649926036E-3</v>
      </c>
      <c r="S24" s="172"/>
      <c r="T24" s="172">
        <v>-4.0910922264366711E-2</v>
      </c>
      <c r="U24" s="172"/>
      <c r="V24" s="172">
        <v>-9.7240711206025024E-2</v>
      </c>
      <c r="W24" s="172"/>
      <c r="X24" s="172">
        <v>-0.1490493175465995</v>
      </c>
      <c r="Y24" s="171"/>
      <c r="Z24" s="170">
        <v>-7.2966336278129762E-2</v>
      </c>
      <c r="AA24" s="175"/>
      <c r="AB24" s="172">
        <v>-0.10813740537071465</v>
      </c>
      <c r="AC24" s="175"/>
      <c r="AE24" s="176"/>
    </row>
    <row r="25" spans="1:31" s="169" customFormat="1" ht="12.75" customHeight="1" x14ac:dyDescent="0.2">
      <c r="A25" s="18"/>
      <c r="B25" s="170"/>
      <c r="C25" s="172"/>
      <c r="D25" s="170"/>
      <c r="E25" s="172"/>
      <c r="F25" s="170"/>
      <c r="G25" s="172"/>
      <c r="H25" s="172"/>
      <c r="I25" s="172"/>
      <c r="J25" s="172"/>
      <c r="K25" s="172"/>
      <c r="L25" s="172"/>
      <c r="M25" s="172"/>
      <c r="N25" s="172"/>
      <c r="O25" s="171"/>
      <c r="P25" s="170"/>
      <c r="Q25" s="172"/>
      <c r="R25" s="172"/>
      <c r="S25" s="172"/>
      <c r="T25" s="172"/>
      <c r="U25" s="172"/>
      <c r="V25" s="172"/>
      <c r="W25" s="172"/>
      <c r="X25" s="172"/>
      <c r="Y25" s="171"/>
      <c r="Z25" s="170"/>
      <c r="AA25" s="175"/>
      <c r="AB25" s="172"/>
      <c r="AC25" s="175"/>
      <c r="AE25" s="176"/>
    </row>
    <row r="26" spans="1:31" s="169" customFormat="1" ht="12.75" customHeight="1" x14ac:dyDescent="0.2">
      <c r="A26" s="5" t="s">
        <v>164</v>
      </c>
      <c r="B26" s="166"/>
      <c r="C26" s="24"/>
      <c r="D26" s="166"/>
      <c r="E26" s="24"/>
      <c r="F26" s="166"/>
      <c r="G26" s="24"/>
      <c r="H26" s="167"/>
      <c r="I26" s="24"/>
      <c r="J26" s="167"/>
      <c r="K26" s="24"/>
      <c r="L26" s="168"/>
      <c r="M26" s="24"/>
      <c r="N26" s="168"/>
      <c r="O26" s="24"/>
      <c r="P26" s="166"/>
      <c r="Q26" s="24"/>
      <c r="R26" s="167"/>
      <c r="S26" s="167"/>
      <c r="T26" s="168"/>
      <c r="U26" s="24"/>
      <c r="V26" s="168"/>
      <c r="W26" s="24"/>
      <c r="X26" s="168"/>
      <c r="Y26" s="24"/>
      <c r="Z26" s="166"/>
      <c r="AB26" s="167"/>
      <c r="AE26" s="176"/>
    </row>
    <row r="27" spans="1:31" s="169" customFormat="1" ht="12.75" customHeight="1" x14ac:dyDescent="0.2">
      <c r="A27" s="15" t="s">
        <v>151</v>
      </c>
      <c r="B27" s="170">
        <v>-0.83899999999999997</v>
      </c>
      <c r="C27" s="171"/>
      <c r="D27" s="170">
        <v>-0.995</v>
      </c>
      <c r="E27" s="24"/>
      <c r="F27" s="170">
        <v>16116.810511999998</v>
      </c>
      <c r="G27" s="24"/>
      <c r="H27" s="177">
        <v>0.4208882100817305</v>
      </c>
      <c r="I27" s="178"/>
      <c r="J27" s="177">
        <v>0.27786053795989774</v>
      </c>
      <c r="K27" s="179"/>
      <c r="L27" s="177">
        <v>2.0186820680531707</v>
      </c>
      <c r="M27" s="179"/>
      <c r="N27" s="177">
        <v>4.3837741151482623</v>
      </c>
      <c r="O27" s="24"/>
      <c r="P27" s="180">
        <v>1.6647730985788209</v>
      </c>
      <c r="Q27" s="24"/>
      <c r="R27" s="172">
        <v>2.9468348268947371</v>
      </c>
      <c r="S27" s="171"/>
      <c r="T27" s="172">
        <v>3.5944543119585362</v>
      </c>
      <c r="U27" s="171"/>
      <c r="V27" s="172">
        <v>1.50191696678565</v>
      </c>
      <c r="W27" s="171"/>
      <c r="X27" s="172">
        <v>0.52787871183632218</v>
      </c>
      <c r="Y27" s="24"/>
      <c r="Z27" s="180">
        <v>1.5235281713162316</v>
      </c>
      <c r="AB27" s="172">
        <v>0.63285788140784571</v>
      </c>
      <c r="AD27" s="1"/>
      <c r="AE27" s="181"/>
    </row>
    <row r="28" spans="1:31" s="169" customFormat="1" ht="12.75" customHeight="1" x14ac:dyDescent="0.2">
      <c r="A28" s="16" t="s">
        <v>48</v>
      </c>
      <c r="B28" s="173">
        <v>8.8999999999999996E-2</v>
      </c>
      <c r="C28" s="171"/>
      <c r="D28" s="173">
        <v>0.11899999999999999</v>
      </c>
      <c r="E28" s="171"/>
      <c r="F28" s="173">
        <v>8.523628983876412E-2</v>
      </c>
      <c r="G28" s="171"/>
      <c r="H28" s="174">
        <v>4.9540747991006828E-2</v>
      </c>
      <c r="I28" s="172"/>
      <c r="J28" s="174">
        <v>4.1838493901756084E-2</v>
      </c>
      <c r="K28" s="171"/>
      <c r="L28" s="174">
        <v>4.1513784340350517E-2</v>
      </c>
      <c r="M28" s="171"/>
      <c r="N28" s="174">
        <v>7.0399994537369476E-2</v>
      </c>
      <c r="O28" s="171"/>
      <c r="P28" s="173">
        <v>5.0976973237643462E-2</v>
      </c>
      <c r="Q28" s="171"/>
      <c r="R28" s="174">
        <v>0.10455497357043543</v>
      </c>
      <c r="S28" s="172"/>
      <c r="T28" s="174">
        <v>9.1300613144657025E-2</v>
      </c>
      <c r="U28" s="171"/>
      <c r="V28" s="174">
        <v>6.2344216861241628E-2</v>
      </c>
      <c r="W28" s="171"/>
      <c r="X28" s="174">
        <v>6.0907112149141624E-3</v>
      </c>
      <c r="Y28" s="171"/>
      <c r="Z28" s="173">
        <v>6.5053108646691268E-2</v>
      </c>
      <c r="AB28" s="174">
        <v>8.1977273631770996E-3</v>
      </c>
      <c r="AD28" s="1"/>
      <c r="AE28" s="181"/>
    </row>
    <row r="29" spans="1:31" s="169" customFormat="1" ht="12.75" customHeight="1" x14ac:dyDescent="0.2">
      <c r="A29" s="54" t="s">
        <v>153</v>
      </c>
      <c r="B29" s="170">
        <v>8.8999999999999996E-2</v>
      </c>
      <c r="C29" s="171"/>
      <c r="D29" s="170">
        <v>0.11899999999999999</v>
      </c>
      <c r="E29" s="171"/>
      <c r="F29" s="170">
        <v>0.10169689867117469</v>
      </c>
      <c r="G29" s="171"/>
      <c r="H29" s="172">
        <v>5.5320208362926462E-2</v>
      </c>
      <c r="I29" s="172"/>
      <c r="J29" s="172">
        <v>4.5894307869232674E-2</v>
      </c>
      <c r="K29" s="171"/>
      <c r="L29" s="172">
        <v>6.9684168126592755E-2</v>
      </c>
      <c r="M29" s="171"/>
      <c r="N29" s="172">
        <v>0.12935953928482954</v>
      </c>
      <c r="O29" s="171"/>
      <c r="P29" s="170">
        <v>7.5432375372317673E-2</v>
      </c>
      <c r="Q29" s="171"/>
      <c r="R29" s="172">
        <v>0.16463283113813607</v>
      </c>
      <c r="S29" s="172"/>
      <c r="T29" s="172">
        <v>0.16540172046895807</v>
      </c>
      <c r="U29" s="171"/>
      <c r="V29" s="172">
        <v>0.12098198840002808</v>
      </c>
      <c r="W29" s="171"/>
      <c r="X29" s="172">
        <v>4.0124409791970288E-2</v>
      </c>
      <c r="Y29" s="171"/>
      <c r="Z29" s="170">
        <v>0.12</v>
      </c>
      <c r="AB29" s="172">
        <v>5.356236907681626E-2</v>
      </c>
    </row>
    <row r="30" spans="1:31" s="169" customFormat="1" ht="12.75" customHeight="1" x14ac:dyDescent="0.2">
      <c r="A30" s="15" t="s">
        <v>152</v>
      </c>
      <c r="B30" s="173">
        <v>0.11700000000000001</v>
      </c>
      <c r="C30" s="171"/>
      <c r="D30" s="173">
        <v>3.6999999999999998E-2</v>
      </c>
      <c r="E30" s="171"/>
      <c r="F30" s="173">
        <v>5.4395337690749355E-3</v>
      </c>
      <c r="G30" s="171"/>
      <c r="H30" s="174">
        <v>1.3455557394127979E-3</v>
      </c>
      <c r="I30" s="172"/>
      <c r="J30" s="174">
        <v>7.397664094431293E-2</v>
      </c>
      <c r="K30" s="171"/>
      <c r="L30" s="174">
        <v>0.12038831431686574</v>
      </c>
      <c r="M30" s="171"/>
      <c r="N30" s="174">
        <v>2.2279199493414555E-2</v>
      </c>
      <c r="O30" s="171"/>
      <c r="P30" s="173">
        <v>5.2206527666755848E-2</v>
      </c>
      <c r="Q30" s="171"/>
      <c r="R30" s="174">
        <v>-0.14588449070034226</v>
      </c>
      <c r="S30" s="172"/>
      <c r="T30" s="174">
        <v>-9.3683643282899312E-2</v>
      </c>
      <c r="U30" s="171"/>
      <c r="V30" s="174">
        <v>-0.19486397618215018</v>
      </c>
      <c r="W30" s="171"/>
      <c r="X30" s="174">
        <v>-0.17079833501728695</v>
      </c>
      <c r="Y30" s="171"/>
      <c r="Z30" s="173">
        <v>-0.15328997445770073</v>
      </c>
      <c r="AB30" s="174">
        <v>-0.21488631963810978</v>
      </c>
    </row>
    <row r="31" spans="1:31" s="169" customFormat="1" ht="12.75" customHeight="1" x14ac:dyDescent="0.2">
      <c r="A31" s="8" t="s">
        <v>148</v>
      </c>
      <c r="B31" s="170">
        <v>9.9000000000000005E-2</v>
      </c>
      <c r="C31" s="171"/>
      <c r="D31" s="170">
        <v>8.7999999999999995E-2</v>
      </c>
      <c r="E31" s="171"/>
      <c r="F31" s="170">
        <v>6.7000000000000004E-2</v>
      </c>
      <c r="G31" s="171"/>
      <c r="H31" s="172">
        <v>3.7916604932773011E-2</v>
      </c>
      <c r="I31" s="172"/>
      <c r="J31" s="172">
        <v>5.5077883217704078E-2</v>
      </c>
      <c r="K31" s="171"/>
      <c r="L31" s="172">
        <v>8.6233467581143572E-2</v>
      </c>
      <c r="M31" s="171"/>
      <c r="N31" s="172">
        <v>8.8289978973079511E-2</v>
      </c>
      <c r="O31" s="171"/>
      <c r="P31" s="170">
        <v>6.8000000000000005E-2</v>
      </c>
      <c r="Q31" s="171"/>
      <c r="R31" s="172">
        <v>6.7439915537742229E-2</v>
      </c>
      <c r="S31" s="172"/>
      <c r="T31" s="172">
        <v>7.9018591446101835E-2</v>
      </c>
      <c r="U31" s="171"/>
      <c r="V31" s="172">
        <v>1.5125896757245523E-2</v>
      </c>
      <c r="W31" s="171"/>
      <c r="X31" s="172">
        <v>-3.5668615376991161E-2</v>
      </c>
      <c r="Y31" s="171"/>
      <c r="Z31" s="170">
        <v>2.8330000000000001E-2</v>
      </c>
      <c r="AB31" s="172">
        <v>-1.3135760994603765E-2</v>
      </c>
      <c r="AE31" s="176"/>
    </row>
    <row r="32" spans="1:31" s="169" customFormat="1" ht="12.75" customHeight="1" x14ac:dyDescent="0.2">
      <c r="A32" s="15" t="s">
        <v>49</v>
      </c>
      <c r="B32" s="173">
        <v>0.19</v>
      </c>
      <c r="C32" s="172"/>
      <c r="D32" s="173">
        <v>0.13100000000000001</v>
      </c>
      <c r="E32" s="172"/>
      <c r="F32" s="173">
        <v>-2.7E-2</v>
      </c>
      <c r="G32" s="172"/>
      <c r="H32" s="174">
        <v>-3.2687093575285132E-2</v>
      </c>
      <c r="I32" s="172"/>
      <c r="J32" s="174">
        <v>5.7705177838885804E-2</v>
      </c>
      <c r="K32" s="172"/>
      <c r="L32" s="174">
        <v>-6.1404621230258763E-2</v>
      </c>
      <c r="M32" s="172"/>
      <c r="N32" s="174">
        <v>-5.8143344836119638E-2</v>
      </c>
      <c r="O32" s="171"/>
      <c r="P32" s="173">
        <v>-2.4E-2</v>
      </c>
      <c r="Q32" s="172"/>
      <c r="R32" s="174">
        <v>-5.869621407718896E-2</v>
      </c>
      <c r="S32" s="172"/>
      <c r="T32" s="174">
        <v>-0.12308029232161972</v>
      </c>
      <c r="U32" s="172"/>
      <c r="V32" s="174">
        <v>-0.10269960002880807</v>
      </c>
      <c r="W32" s="172"/>
      <c r="X32" s="174">
        <v>-0.18779535958245158</v>
      </c>
      <c r="Y32" s="171"/>
      <c r="Z32" s="173">
        <v>-0.11688999999999999</v>
      </c>
      <c r="AA32" s="175"/>
      <c r="AB32" s="174">
        <v>-0.16393360670526219</v>
      </c>
      <c r="AC32" s="175"/>
      <c r="AD32" s="175"/>
      <c r="AE32" s="182"/>
    </row>
    <row r="33" spans="1:31" s="169" customFormat="1" ht="12.75" customHeight="1" x14ac:dyDescent="0.2">
      <c r="A33" s="3" t="s">
        <v>8</v>
      </c>
      <c r="B33" s="170">
        <v>0.11899999999999999</v>
      </c>
      <c r="C33" s="172"/>
      <c r="D33" s="170">
        <v>9.8000000000000004E-2</v>
      </c>
      <c r="E33" s="172"/>
      <c r="F33" s="170">
        <v>4.462E-2</v>
      </c>
      <c r="G33" s="172"/>
      <c r="H33" s="172">
        <v>2.1539073350306526E-2</v>
      </c>
      <c r="I33" s="172"/>
      <c r="J33" s="172">
        <v>5.5665905462718067E-2</v>
      </c>
      <c r="K33" s="172"/>
      <c r="L33" s="172">
        <v>5.3335466251981878E-2</v>
      </c>
      <c r="M33" s="172"/>
      <c r="N33" s="172">
        <v>5.8585481893601639E-2</v>
      </c>
      <c r="O33" s="171"/>
      <c r="P33" s="170">
        <v>4.7E-2</v>
      </c>
      <c r="Q33" s="172"/>
      <c r="R33" s="172">
        <v>3.9521595588832434E-2</v>
      </c>
      <c r="S33" s="172"/>
      <c r="T33" s="172">
        <v>3.3578043511811574E-2</v>
      </c>
      <c r="U33" s="172"/>
      <c r="V33" s="172">
        <v>-8.2934642730597991E-3</v>
      </c>
      <c r="W33" s="172"/>
      <c r="X33" s="172">
        <v>-6.3045342132612009E-2</v>
      </c>
      <c r="Y33" s="171"/>
      <c r="Z33" s="170">
        <v>-1.49E-3</v>
      </c>
      <c r="AA33" s="175"/>
      <c r="AB33" s="172">
        <v>-4.3181049612337867E-2</v>
      </c>
      <c r="AC33" s="175"/>
      <c r="AE33" s="176"/>
    </row>
    <row r="34" spans="1:31" s="169" customFormat="1" ht="12.75" customHeight="1" x14ac:dyDescent="0.2">
      <c r="A34" s="18"/>
      <c r="B34" s="170"/>
      <c r="C34" s="172"/>
      <c r="D34" s="170"/>
      <c r="E34" s="172"/>
      <c r="F34" s="170"/>
      <c r="G34" s="172"/>
      <c r="H34" s="172"/>
      <c r="I34" s="172"/>
      <c r="J34" s="172"/>
      <c r="K34" s="172"/>
      <c r="L34" s="172"/>
      <c r="M34" s="172"/>
      <c r="N34" s="172"/>
      <c r="O34" s="171"/>
      <c r="P34" s="170"/>
      <c r="Q34" s="172"/>
      <c r="R34" s="172"/>
      <c r="S34" s="172"/>
      <c r="T34" s="172"/>
      <c r="U34" s="172"/>
      <c r="V34" s="172"/>
      <c r="W34" s="172"/>
      <c r="X34" s="172"/>
      <c r="Y34" s="171"/>
      <c r="Z34" s="170"/>
      <c r="AA34" s="175"/>
      <c r="AB34" s="172"/>
      <c r="AC34" s="175"/>
      <c r="AE34" s="176"/>
    </row>
    <row r="35" spans="1:31" s="169" customFormat="1" ht="12.75" customHeight="1" x14ac:dyDescent="0.2">
      <c r="A35" s="5" t="s">
        <v>165</v>
      </c>
      <c r="B35" s="166"/>
      <c r="C35" s="24"/>
      <c r="D35" s="166"/>
      <c r="E35" s="24"/>
      <c r="F35" s="166"/>
      <c r="G35" s="24"/>
      <c r="H35" s="167"/>
      <c r="I35" s="25"/>
      <c r="J35" s="167"/>
      <c r="K35" s="24"/>
      <c r="L35" s="168"/>
      <c r="M35" s="24"/>
      <c r="N35" s="168"/>
      <c r="O35" s="24"/>
      <c r="P35" s="166"/>
      <c r="Q35" s="24"/>
      <c r="R35" s="167"/>
      <c r="S35" s="25"/>
      <c r="T35" s="167"/>
      <c r="U35" s="24"/>
      <c r="V35" s="168"/>
      <c r="W35" s="24"/>
      <c r="X35" s="168"/>
      <c r="Y35" s="24"/>
      <c r="Z35" s="166"/>
      <c r="AB35" s="167"/>
      <c r="AE35" s="176"/>
    </row>
    <row r="36" spans="1:31" s="169" customFormat="1" ht="12.75" customHeight="1" x14ac:dyDescent="0.2">
      <c r="A36" s="15" t="s">
        <v>151</v>
      </c>
      <c r="B36" s="170">
        <v>-0.83899999999999997</v>
      </c>
      <c r="C36" s="171"/>
      <c r="D36" s="170">
        <v>-0.995</v>
      </c>
      <c r="E36" s="24"/>
      <c r="F36" s="170">
        <v>16116.810511999998</v>
      </c>
      <c r="G36" s="24"/>
      <c r="H36" s="172">
        <v>0.4208882100817305</v>
      </c>
      <c r="I36" s="171"/>
      <c r="J36" s="172">
        <v>0.27786053795989774</v>
      </c>
      <c r="K36" s="171"/>
      <c r="L36" s="172">
        <v>2.0186820680531707</v>
      </c>
      <c r="M36" s="171"/>
      <c r="N36" s="172">
        <v>4.5869011535095385</v>
      </c>
      <c r="O36" s="171"/>
      <c r="P36" s="170">
        <v>1.7114805592130977</v>
      </c>
      <c r="Q36" s="24"/>
      <c r="R36" s="177">
        <v>3.1324582056645971</v>
      </c>
      <c r="S36" s="178"/>
      <c r="T36" s="177">
        <v>3.7585488039029702</v>
      </c>
      <c r="U36" s="179"/>
      <c r="V36" s="177">
        <v>1.5501943411726813</v>
      </c>
      <c r="W36" s="179"/>
      <c r="X36" s="177">
        <v>0.4885625433561242</v>
      </c>
      <c r="Y36" s="24"/>
      <c r="Z36" s="170">
        <v>1.5468235225369753</v>
      </c>
      <c r="AB36" s="172">
        <v>0.57075361141160685</v>
      </c>
      <c r="AE36" s="176"/>
    </row>
    <row r="37" spans="1:31" s="169" customFormat="1" ht="12.75" customHeight="1" x14ac:dyDescent="0.2">
      <c r="A37" s="16" t="s">
        <v>48</v>
      </c>
      <c r="B37" s="173">
        <v>9.4E-2</v>
      </c>
      <c r="C37" s="171"/>
      <c r="D37" s="173">
        <v>0.11799999999999999</v>
      </c>
      <c r="E37" s="171"/>
      <c r="F37" s="173">
        <v>8.5832270644379233E-2</v>
      </c>
      <c r="G37" s="171"/>
      <c r="H37" s="174">
        <v>3.9685806616972984E-2</v>
      </c>
      <c r="I37" s="172"/>
      <c r="J37" s="174">
        <v>3.7591039974980985E-2</v>
      </c>
      <c r="K37" s="171"/>
      <c r="L37" s="174">
        <v>3.8101369973403264E-2</v>
      </c>
      <c r="M37" s="171"/>
      <c r="N37" s="174">
        <v>7.0639265167661225E-2</v>
      </c>
      <c r="O37" s="171"/>
      <c r="P37" s="173">
        <v>4.6657178056139344E-2</v>
      </c>
      <c r="Q37" s="171"/>
      <c r="R37" s="174">
        <v>0.10728583833199029</v>
      </c>
      <c r="S37" s="172"/>
      <c r="T37" s="174">
        <v>9.2899435279910597E-2</v>
      </c>
      <c r="U37" s="171"/>
      <c r="V37" s="174">
        <v>6.3065804981488588E-2</v>
      </c>
      <c r="W37" s="171"/>
      <c r="X37" s="174">
        <v>4.3915521171078043E-3</v>
      </c>
      <c r="Y37" s="171"/>
      <c r="Z37" s="173">
        <v>6.5818851629752206E-2</v>
      </c>
      <c r="AB37" s="174">
        <v>5.625161226547791E-3</v>
      </c>
      <c r="AE37" s="176"/>
    </row>
    <row r="38" spans="1:31" s="169" customFormat="1" ht="12.75" customHeight="1" x14ac:dyDescent="0.2">
      <c r="A38" s="54" t="s">
        <v>153</v>
      </c>
      <c r="B38" s="170">
        <v>9.4E-2</v>
      </c>
      <c r="C38" s="171"/>
      <c r="D38" s="170">
        <v>0.11799999999999999</v>
      </c>
      <c r="E38" s="171"/>
      <c r="F38" s="170">
        <v>0.10222631377203713</v>
      </c>
      <c r="G38" s="171"/>
      <c r="H38" s="172">
        <v>4.5563795118683838E-2</v>
      </c>
      <c r="I38" s="172"/>
      <c r="J38" s="172">
        <v>4.1703297840021157E-2</v>
      </c>
      <c r="K38" s="171"/>
      <c r="L38" s="172">
        <v>6.622922965386549E-2</v>
      </c>
      <c r="M38" s="171"/>
      <c r="N38" s="172">
        <v>0.13226762109409326</v>
      </c>
      <c r="O38" s="171"/>
      <c r="P38" s="170">
        <v>7.1771220195693347E-2</v>
      </c>
      <c r="Q38" s="171"/>
      <c r="R38" s="172">
        <v>0.17122953136467794</v>
      </c>
      <c r="S38" s="172"/>
      <c r="T38" s="172">
        <v>0.17043776235061917</v>
      </c>
      <c r="U38" s="171"/>
      <c r="V38" s="172">
        <v>0.12364065495594667</v>
      </c>
      <c r="W38" s="171"/>
      <c r="X38" s="172">
        <v>3.7015614666091712E-2</v>
      </c>
      <c r="Y38" s="171"/>
      <c r="Z38" s="170">
        <v>0.12288704779262624</v>
      </c>
      <c r="AB38" s="172">
        <v>4.8383938517687179E-2</v>
      </c>
      <c r="AD38" s="1"/>
      <c r="AE38" s="181"/>
    </row>
    <row r="39" spans="1:31" s="169" customFormat="1" ht="12.75" customHeight="1" x14ac:dyDescent="0.2">
      <c r="A39" s="15" t="s">
        <v>152</v>
      </c>
      <c r="B39" s="173">
        <v>0.11700000000000001</v>
      </c>
      <c r="C39" s="171"/>
      <c r="D39" s="173">
        <v>3.6999999999999998E-2</v>
      </c>
      <c r="E39" s="171"/>
      <c r="F39" s="173">
        <v>5.4395337690749355E-3</v>
      </c>
      <c r="G39" s="171"/>
      <c r="H39" s="174">
        <v>1.3455557394127979E-3</v>
      </c>
      <c r="I39" s="172"/>
      <c r="J39" s="174">
        <v>7.397664094431293E-2</v>
      </c>
      <c r="K39" s="171"/>
      <c r="L39" s="174">
        <v>0.12038831431686574</v>
      </c>
      <c r="M39" s="171"/>
      <c r="N39" s="174">
        <v>2.5007880791796215E-2</v>
      </c>
      <c r="O39" s="171"/>
      <c r="P39" s="173">
        <v>5.3042329132245034E-2</v>
      </c>
      <c r="Q39" s="171"/>
      <c r="R39" s="174">
        <v>-0.14588449070034226</v>
      </c>
      <c r="S39" s="172"/>
      <c r="T39" s="174">
        <v>-9.3682688864483318E-2</v>
      </c>
      <c r="U39" s="171"/>
      <c r="V39" s="174">
        <v>-0.19486397618215018</v>
      </c>
      <c r="W39" s="171"/>
      <c r="X39" s="174">
        <v>-0.17300009375261913</v>
      </c>
      <c r="Y39" s="171"/>
      <c r="Z39" s="173">
        <v>-0.1539610035307889</v>
      </c>
      <c r="AB39" s="174">
        <v>-0.21488631963810978</v>
      </c>
      <c r="AD39" s="1"/>
      <c r="AE39" s="181"/>
    </row>
    <row r="40" spans="1:31" s="169" customFormat="1" ht="12.75" customHeight="1" x14ac:dyDescent="0.2">
      <c r="A40" s="8" t="s">
        <v>148</v>
      </c>
      <c r="B40" s="170">
        <v>0.10299999999999999</v>
      </c>
      <c r="C40" s="171"/>
      <c r="D40" s="170">
        <v>8.6999999999999994E-2</v>
      </c>
      <c r="E40" s="171"/>
      <c r="F40" s="170">
        <v>6.7000000000000004E-2</v>
      </c>
      <c r="G40" s="171"/>
      <c r="H40" s="172">
        <v>3.1395630654700711E-2</v>
      </c>
      <c r="I40" s="172"/>
      <c r="J40" s="172">
        <v>5.2228932270714644E-2</v>
      </c>
      <c r="K40" s="171"/>
      <c r="L40" s="172">
        <v>8.386768478945697E-2</v>
      </c>
      <c r="M40" s="171"/>
      <c r="N40" s="172">
        <v>9.1172195521097982E-2</v>
      </c>
      <c r="O40" s="171"/>
      <c r="P40" s="170">
        <v>6.5000000000000002E-2</v>
      </c>
      <c r="Q40" s="171"/>
      <c r="R40" s="172">
        <v>7.1971829035930329E-2</v>
      </c>
      <c r="S40" s="172"/>
      <c r="T40" s="172">
        <v>8.2375856095115357E-2</v>
      </c>
      <c r="U40" s="171"/>
      <c r="V40" s="172">
        <v>1.6893508551824397E-2</v>
      </c>
      <c r="W40" s="171"/>
      <c r="X40" s="172">
        <v>-3.8375182937504047E-2</v>
      </c>
      <c r="Y40" s="171"/>
      <c r="Z40" s="170">
        <v>2.98E-2</v>
      </c>
      <c r="AB40" s="172">
        <v>-1.6741027652412092E-2</v>
      </c>
    </row>
    <row r="41" spans="1:31" s="169" customFormat="1" ht="12.75" customHeight="1" x14ac:dyDescent="0.2">
      <c r="A41" s="15" t="s">
        <v>49</v>
      </c>
      <c r="B41" s="173">
        <v>0.19</v>
      </c>
      <c r="C41" s="172"/>
      <c r="D41" s="173">
        <v>0.13100000000000001</v>
      </c>
      <c r="E41" s="172"/>
      <c r="F41" s="173">
        <v>-2.7E-2</v>
      </c>
      <c r="G41" s="172"/>
      <c r="H41" s="174">
        <v>-3.270693133307262E-2</v>
      </c>
      <c r="I41" s="172"/>
      <c r="J41" s="174">
        <v>5.7705177838885804E-2</v>
      </c>
      <c r="K41" s="172"/>
      <c r="L41" s="174">
        <v>-6.1404621230258763E-2</v>
      </c>
      <c r="M41" s="172"/>
      <c r="N41" s="174">
        <v>-5.6095424929851867E-2</v>
      </c>
      <c r="O41" s="171"/>
      <c r="P41" s="173">
        <v>-2.3E-2</v>
      </c>
      <c r="Q41" s="172"/>
      <c r="R41" s="174">
        <v>-5.5120290582821224E-2</v>
      </c>
      <c r="S41" s="172"/>
      <c r="T41" s="174">
        <v>-0.11932877605529416</v>
      </c>
      <c r="U41" s="172"/>
      <c r="V41" s="174">
        <v>-9.8072065545544693E-2</v>
      </c>
      <c r="W41" s="172"/>
      <c r="X41" s="174">
        <v>-0.18507445191162403</v>
      </c>
      <c r="Y41" s="171"/>
      <c r="Z41" s="173">
        <v>-0.11326</v>
      </c>
      <c r="AA41" s="175"/>
      <c r="AB41" s="174">
        <v>-0.16249518803803326</v>
      </c>
      <c r="AC41" s="175"/>
    </row>
    <row r="42" spans="1:31" s="169" customFormat="1" ht="12.75" customHeight="1" x14ac:dyDescent="0.2">
      <c r="A42" s="3" t="s">
        <v>8</v>
      </c>
      <c r="B42" s="170">
        <v>0.121</v>
      </c>
      <c r="C42" s="172"/>
      <c r="D42" s="170">
        <v>9.7000000000000003E-2</v>
      </c>
      <c r="E42" s="172"/>
      <c r="F42" s="170">
        <v>4.4999999999999998E-2</v>
      </c>
      <c r="G42" s="172"/>
      <c r="H42" s="172">
        <v>1.6597752573992139E-2</v>
      </c>
      <c r="I42" s="172"/>
      <c r="J42" s="172">
        <v>5.3452015910266236E-2</v>
      </c>
      <c r="K42" s="172"/>
      <c r="L42" s="172">
        <v>5.1551666995139266E-2</v>
      </c>
      <c r="M42" s="172"/>
      <c r="N42" s="172">
        <v>6.1323321588780573E-2</v>
      </c>
      <c r="O42" s="171"/>
      <c r="P42" s="170">
        <v>4.5999999999999999E-2</v>
      </c>
      <c r="Q42" s="172"/>
      <c r="R42" s="172">
        <v>4.3841915536844793E-2</v>
      </c>
      <c r="S42" s="172"/>
      <c r="T42" s="172">
        <v>3.7023952933030839E-2</v>
      </c>
      <c r="U42" s="172"/>
      <c r="V42" s="172">
        <v>-5.9574053783877133E-3</v>
      </c>
      <c r="W42" s="172"/>
      <c r="X42" s="172">
        <v>-6.4742684459434388E-2</v>
      </c>
      <c r="Y42" s="171"/>
      <c r="Z42" s="170">
        <v>4.2999999999999999E-4</v>
      </c>
      <c r="AA42" s="175"/>
      <c r="AB42" s="172">
        <v>-4.5771357782311686E-2</v>
      </c>
      <c r="AC42" s="175"/>
    </row>
    <row r="43" spans="1:31" s="169" customFormat="1" ht="12.75" customHeight="1" x14ac:dyDescent="0.2">
      <c r="A43" s="18"/>
      <c r="B43" s="170"/>
      <c r="C43" s="172"/>
      <c r="D43" s="170"/>
      <c r="E43" s="172"/>
      <c r="F43" s="170"/>
      <c r="G43" s="172"/>
      <c r="H43" s="172"/>
      <c r="I43" s="172"/>
      <c r="J43" s="172"/>
      <c r="K43" s="172"/>
      <c r="L43" s="172"/>
      <c r="M43" s="172"/>
      <c r="N43" s="172"/>
      <c r="O43" s="171"/>
      <c r="P43" s="170"/>
      <c r="Q43" s="172"/>
      <c r="R43" s="172"/>
      <c r="S43" s="172"/>
      <c r="T43" s="172"/>
      <c r="U43" s="172"/>
      <c r="V43" s="172"/>
      <c r="W43" s="172"/>
      <c r="X43" s="172"/>
      <c r="Y43" s="171"/>
      <c r="Z43" s="170"/>
      <c r="AA43" s="175"/>
      <c r="AB43" s="172"/>
      <c r="AC43" s="175"/>
      <c r="AE43" s="176"/>
    </row>
    <row r="44" spans="1:31" ht="12.75" customHeight="1" thickBot="1" x14ac:dyDescent="0.25">
      <c r="A44" s="8"/>
      <c r="B44" s="183"/>
      <c r="C44" s="3"/>
      <c r="D44" s="183"/>
      <c r="E44" s="3"/>
      <c r="F44" s="183"/>
      <c r="G44" s="3"/>
      <c r="H44" s="184"/>
      <c r="I44" s="3"/>
      <c r="J44" s="184"/>
      <c r="K44" s="3"/>
      <c r="L44" s="184"/>
      <c r="M44" s="3"/>
      <c r="N44" s="184"/>
      <c r="O44" s="3"/>
      <c r="P44" s="183"/>
      <c r="Q44" s="3"/>
      <c r="R44" s="184"/>
      <c r="S44" s="184"/>
      <c r="T44" s="3"/>
      <c r="U44" s="3"/>
      <c r="V44" s="184"/>
      <c r="W44" s="3"/>
      <c r="X44" s="184"/>
      <c r="Y44" s="3"/>
      <c r="Z44" s="183"/>
      <c r="AB44" s="184"/>
    </row>
    <row r="45" spans="1:31" ht="12.75" customHeight="1" x14ac:dyDescent="0.2">
      <c r="A45" s="3"/>
      <c r="O45" s="1"/>
      <c r="Y45" s="1"/>
    </row>
    <row r="46" spans="1:31" x14ac:dyDescent="0.2">
      <c r="R46" s="187"/>
      <c r="T46" s="187"/>
    </row>
  </sheetData>
  <mergeCells count="4">
    <mergeCell ref="H3:P3"/>
    <mergeCell ref="R3:Z3"/>
    <mergeCell ref="H5:N5"/>
    <mergeCell ref="R5:X5"/>
  </mergeCells>
  <printOptions horizontalCentered="1"/>
  <pageMargins left="0.7" right="0.7" top="1" bottom="0.75" header="0.3" footer="0.3"/>
  <pageSetup scale="53" orientation="landscape" r:id="rId1"/>
  <headerFooter alignWithMargins="0">
    <oddHeader>&amp;L&amp;G</oddHeader>
    <oddFooter>&amp;C&amp;8PTC Investor Relations
Tel: (781) 370 6359</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AE71"/>
  <sheetViews>
    <sheetView zoomScale="85" zoomScaleNormal="85" workbookViewId="0">
      <pane xSplit="1" ySplit="6" topLeftCell="B7" activePane="bottomRight" state="frozen"/>
      <selection activeCell="AD36" sqref="AD36"/>
      <selection pane="topRight" activeCell="AD36" sqref="AD36"/>
      <selection pane="bottomLeft" activeCell="AD36" sqref="AD36"/>
      <selection pane="bottomRight" activeCell="A3" sqref="A3"/>
    </sheetView>
  </sheetViews>
  <sheetFormatPr defaultColWidth="9.140625" defaultRowHeight="12.75" x14ac:dyDescent="0.2"/>
  <cols>
    <col min="1" max="1" width="62.28515625" style="1" bestFit="1" customWidth="1"/>
    <col min="2" max="2" width="11.7109375" style="1" customWidth="1"/>
    <col min="3" max="3" width="1.140625" style="1" customWidth="1"/>
    <col min="4" max="4" width="11.7109375" style="1" customWidth="1"/>
    <col min="5" max="5" width="1.140625" style="1" customWidth="1"/>
    <col min="6" max="6" width="11.7109375" style="1" customWidth="1"/>
    <col min="7" max="7" width="1.140625" style="1" customWidth="1"/>
    <col min="8" max="8" width="9.85546875" style="1" bestFit="1" customWidth="1"/>
    <col min="9" max="9" width="1.140625" style="1" customWidth="1"/>
    <col min="10" max="10" width="10.140625" style="185" bestFit="1" customWidth="1"/>
    <col min="11" max="11" width="1.140625" style="1" customWidth="1"/>
    <col min="12" max="12" width="9.42578125" style="1" bestFit="1" customWidth="1"/>
    <col min="13" max="13" width="1.140625" style="1" customWidth="1"/>
    <col min="14" max="14" width="9.85546875" style="1" bestFit="1" customWidth="1"/>
    <col min="15" max="15" width="1.140625" style="186" customWidth="1"/>
    <col min="16" max="16" width="11.7109375" style="1" customWidth="1"/>
    <col min="17" max="17" width="1.140625" style="1" customWidth="1"/>
    <col min="18" max="18" width="7.28515625" style="1" customWidth="1"/>
    <col min="19" max="19" width="1.140625" style="1" customWidth="1"/>
    <col min="20" max="20" width="8.42578125" style="1" bestFit="1" customWidth="1"/>
    <col min="21" max="21" width="1.140625" style="1" customWidth="1"/>
    <col min="22" max="22" width="6.85546875" style="1" bestFit="1" customWidth="1"/>
    <col min="23" max="23" width="1.140625" style="1" customWidth="1"/>
    <col min="24" max="24" width="9.85546875" style="1" bestFit="1" customWidth="1"/>
    <col min="25" max="25" width="1.140625" style="186" customWidth="1"/>
    <col min="26" max="26" width="11.7109375" style="1" customWidth="1"/>
    <col min="27" max="27" width="1.140625" style="1" customWidth="1"/>
    <col min="28" max="28" width="10" style="1" bestFit="1" customWidth="1"/>
    <col min="29" max="16384" width="9.140625" style="1"/>
  </cols>
  <sheetData>
    <row r="1" spans="1:28" ht="12.75" customHeight="1" x14ac:dyDescent="0.2">
      <c r="A1" s="17" t="s">
        <v>166</v>
      </c>
      <c r="B1" s="4"/>
      <c r="C1" s="4"/>
      <c r="D1" s="4"/>
      <c r="E1" s="4"/>
      <c r="F1" s="4"/>
      <c r="G1" s="4"/>
      <c r="H1" s="4"/>
      <c r="I1" s="4"/>
      <c r="J1" s="4"/>
      <c r="K1" s="4"/>
      <c r="L1" s="4"/>
      <c r="M1" s="4"/>
      <c r="N1" s="4"/>
      <c r="O1" s="4"/>
      <c r="P1" s="4"/>
      <c r="Q1" s="4"/>
      <c r="R1" s="4"/>
      <c r="S1" s="4"/>
      <c r="T1" s="4"/>
      <c r="U1" s="4"/>
      <c r="V1" s="4"/>
      <c r="W1" s="4"/>
      <c r="X1" s="4"/>
      <c r="Y1" s="4"/>
      <c r="Z1" s="4"/>
      <c r="AA1" s="4"/>
    </row>
    <row r="2" spans="1:28" ht="12.75" customHeight="1" thickBot="1" x14ac:dyDescent="0.25">
      <c r="J2" s="1"/>
      <c r="O2" s="1"/>
      <c r="Y2" s="1"/>
    </row>
    <row r="3" spans="1:28" s="3" customFormat="1" ht="12.75" customHeight="1" thickBot="1" x14ac:dyDescent="0.25">
      <c r="B3" s="27" t="s">
        <v>6</v>
      </c>
      <c r="C3" s="1"/>
      <c r="D3" s="27" t="s">
        <v>5</v>
      </c>
      <c r="E3" s="1"/>
      <c r="F3" s="27" t="s">
        <v>4</v>
      </c>
      <c r="H3" s="262" t="s">
        <v>3</v>
      </c>
      <c r="I3" s="263"/>
      <c r="J3" s="263"/>
      <c r="K3" s="263"/>
      <c r="L3" s="263"/>
      <c r="M3" s="263"/>
      <c r="N3" s="263"/>
      <c r="O3" s="263"/>
      <c r="P3" s="264"/>
      <c r="R3" s="262" t="s">
        <v>2</v>
      </c>
      <c r="S3" s="263"/>
      <c r="T3" s="263"/>
      <c r="U3" s="263"/>
      <c r="V3" s="263"/>
      <c r="W3" s="263"/>
      <c r="X3" s="263"/>
      <c r="Y3" s="263"/>
      <c r="Z3" s="264"/>
      <c r="AB3" s="27" t="s">
        <v>149</v>
      </c>
    </row>
    <row r="4" spans="1:28" s="3" customFormat="1" ht="12.75" customHeight="1" thickBot="1" x14ac:dyDescent="0.25"/>
    <row r="5" spans="1:28" s="3" customFormat="1" ht="12.75" customHeight="1" x14ac:dyDescent="0.2">
      <c r="B5" s="10" t="s">
        <v>1</v>
      </c>
      <c r="D5" s="10" t="s">
        <v>1</v>
      </c>
      <c r="F5" s="10" t="s">
        <v>1</v>
      </c>
      <c r="H5" s="265" t="s">
        <v>0</v>
      </c>
      <c r="I5" s="265"/>
      <c r="J5" s="265"/>
      <c r="K5" s="265"/>
      <c r="L5" s="265"/>
      <c r="M5" s="265"/>
      <c r="N5" s="265"/>
      <c r="P5" s="10" t="s">
        <v>1</v>
      </c>
      <c r="R5" s="265" t="s">
        <v>0</v>
      </c>
      <c r="S5" s="265"/>
      <c r="T5" s="265"/>
      <c r="U5" s="265"/>
      <c r="V5" s="265"/>
      <c r="W5" s="265"/>
      <c r="X5" s="265"/>
      <c r="Z5" s="10" t="s">
        <v>1</v>
      </c>
      <c r="AB5" s="162" t="s">
        <v>150</v>
      </c>
    </row>
    <row r="6" spans="1:28" s="2" customFormat="1" ht="12.75" customHeight="1" x14ac:dyDescent="0.2">
      <c r="A6" s="5"/>
      <c r="B6" s="12">
        <v>40816</v>
      </c>
      <c r="D6" s="12">
        <v>41182</v>
      </c>
      <c r="F6" s="12">
        <v>41547</v>
      </c>
      <c r="H6" s="11">
        <v>41636</v>
      </c>
      <c r="J6" s="11">
        <v>41727</v>
      </c>
      <c r="L6" s="11">
        <v>41818</v>
      </c>
      <c r="N6" s="11">
        <v>41912</v>
      </c>
      <c r="P6" s="12">
        <v>41912</v>
      </c>
      <c r="R6" s="11">
        <v>42007</v>
      </c>
      <c r="S6" s="13"/>
      <c r="T6" s="11">
        <v>42098</v>
      </c>
      <c r="V6" s="11">
        <v>42189</v>
      </c>
      <c r="X6" s="11">
        <v>41912</v>
      </c>
      <c r="Z6" s="12">
        <v>41912</v>
      </c>
      <c r="AB6" s="11">
        <v>42371</v>
      </c>
    </row>
    <row r="7" spans="1:28" s="169" customFormat="1" ht="12.75" customHeight="1" x14ac:dyDescent="0.2">
      <c r="A7" s="14" t="s">
        <v>7</v>
      </c>
      <c r="B7" s="166"/>
      <c r="C7" s="24"/>
      <c r="D7" s="166"/>
      <c r="E7" s="24"/>
      <c r="F7" s="166"/>
      <c r="G7" s="24"/>
      <c r="H7" s="167"/>
      <c r="I7" s="24"/>
      <c r="J7" s="167"/>
      <c r="K7" s="24"/>
      <c r="L7" s="168"/>
      <c r="M7" s="24"/>
      <c r="N7" s="168"/>
      <c r="O7" s="24"/>
      <c r="P7" s="166"/>
      <c r="Q7" s="24"/>
      <c r="R7" s="167"/>
      <c r="S7" s="167"/>
      <c r="T7" s="168"/>
      <c r="U7" s="24"/>
      <c r="V7" s="168"/>
      <c r="W7" s="24"/>
      <c r="X7" s="168"/>
      <c r="Y7" s="24"/>
      <c r="Z7" s="166"/>
      <c r="AA7" s="24"/>
      <c r="AB7" s="167"/>
    </row>
    <row r="8" spans="1:28" s="169" customFormat="1" ht="12.75" customHeight="1" x14ac:dyDescent="0.2">
      <c r="A8" s="5" t="s">
        <v>167</v>
      </c>
      <c r="B8" s="166"/>
      <c r="C8" s="24"/>
      <c r="D8" s="166"/>
      <c r="E8" s="24"/>
      <c r="F8" s="166"/>
      <c r="G8" s="24"/>
      <c r="H8" s="167"/>
      <c r="I8" s="24"/>
      <c r="J8" s="167"/>
      <c r="K8" s="24"/>
      <c r="L8" s="168"/>
      <c r="M8" s="24"/>
      <c r="N8" s="168"/>
      <c r="O8" s="24"/>
      <c r="P8" s="166"/>
      <c r="Q8" s="24"/>
      <c r="R8" s="167"/>
      <c r="S8" s="167"/>
      <c r="T8" s="168"/>
      <c r="U8" s="24"/>
      <c r="V8" s="168"/>
      <c r="W8" s="24"/>
      <c r="X8" s="168"/>
      <c r="Y8" s="24"/>
      <c r="Z8" s="166"/>
      <c r="AA8" s="24"/>
      <c r="AB8" s="167"/>
    </row>
    <row r="9" spans="1:28" s="169" customFormat="1" ht="12.75" customHeight="1" x14ac:dyDescent="0.2">
      <c r="A9" s="15" t="s">
        <v>168</v>
      </c>
      <c r="B9" s="23">
        <v>429.21300000000002</v>
      </c>
      <c r="C9" s="24"/>
      <c r="D9" s="23">
        <v>479.93099999999998</v>
      </c>
      <c r="E9" s="24"/>
      <c r="F9" s="23">
        <v>522.78800000000001</v>
      </c>
      <c r="G9" s="24"/>
      <c r="H9" s="6">
        <v>138.87799999999999</v>
      </c>
      <c r="I9" s="24"/>
      <c r="J9" s="6">
        <v>134.376</v>
      </c>
      <c r="K9" s="24"/>
      <c r="L9" s="6">
        <v>130.37899999999999</v>
      </c>
      <c r="M9" s="24"/>
      <c r="N9" s="6">
        <v>155.03800000000001</v>
      </c>
      <c r="O9" s="24"/>
      <c r="P9" s="23">
        <f>SUM(H9,J9,L9,N9)</f>
        <v>558.67100000000005</v>
      </c>
      <c r="Q9" s="24"/>
      <c r="R9" s="6">
        <v>136.10499999999999</v>
      </c>
      <c r="S9" s="22"/>
      <c r="T9" s="6">
        <v>131.833</v>
      </c>
      <c r="U9" s="24"/>
      <c r="V9" s="6">
        <v>134.38999999999999</v>
      </c>
      <c r="W9" s="24"/>
      <c r="X9" s="6">
        <v>127.98099999999999</v>
      </c>
      <c r="Y9" s="24"/>
      <c r="Z9" s="23">
        <f>SUM(R9,T9,V9,X9)</f>
        <v>530.30899999999997</v>
      </c>
      <c r="AA9" s="24"/>
      <c r="AB9" s="6">
        <v>126.52500000000001</v>
      </c>
    </row>
    <row r="10" spans="1:28" s="190" customFormat="1" ht="12.75" customHeight="1" x14ac:dyDescent="0.2">
      <c r="A10" s="16" t="s">
        <v>169</v>
      </c>
      <c r="B10" s="188">
        <v>466.541</v>
      </c>
      <c r="C10" s="19"/>
      <c r="D10" s="188">
        <v>480.28699999999998</v>
      </c>
      <c r="E10" s="19"/>
      <c r="F10" s="188">
        <v>479.87700000000001</v>
      </c>
      <c r="G10" s="19"/>
      <c r="H10" s="189">
        <v>127.044</v>
      </c>
      <c r="I10" s="19"/>
      <c r="J10" s="189">
        <v>128.018</v>
      </c>
      <c r="K10" s="19"/>
      <c r="L10" s="189">
        <v>130.65899999999999</v>
      </c>
      <c r="M10" s="19"/>
      <c r="N10" s="189">
        <v>142.37</v>
      </c>
      <c r="O10" s="25"/>
      <c r="P10" s="188">
        <f>SUM(H10,J10,L10,N10)</f>
        <v>528.09100000000001</v>
      </c>
      <c r="Q10" s="19"/>
      <c r="R10" s="189">
        <v>128.238</v>
      </c>
      <c r="S10" s="189"/>
      <c r="T10" s="189">
        <v>110.337</v>
      </c>
      <c r="U10" s="19"/>
      <c r="V10" s="189">
        <v>109.53100000000001</v>
      </c>
      <c r="W10" s="19"/>
      <c r="X10" s="189">
        <v>119.699</v>
      </c>
      <c r="Y10" s="25"/>
      <c r="Z10" s="188">
        <f>SUM(R10,T10,V10,X10)</f>
        <v>467.80500000000001</v>
      </c>
      <c r="AA10" s="19"/>
      <c r="AB10" s="189">
        <v>107.636</v>
      </c>
    </row>
    <row r="11" spans="1:28" s="190" customFormat="1" ht="12.75" customHeight="1" x14ac:dyDescent="0.2">
      <c r="A11" s="16" t="s">
        <v>170</v>
      </c>
      <c r="B11" s="188">
        <v>123.20499999999998</v>
      </c>
      <c r="C11" s="19"/>
      <c r="D11" s="188">
        <v>134.626</v>
      </c>
      <c r="E11" s="19"/>
      <c r="F11" s="188">
        <v>129.29</v>
      </c>
      <c r="G11" s="19"/>
      <c r="H11" s="189">
        <v>25.111000000000001</v>
      </c>
      <c r="I11" s="19"/>
      <c r="J11" s="189">
        <v>29.643999999999998</v>
      </c>
      <c r="K11" s="19"/>
      <c r="L11" s="189">
        <v>39.173999999999999</v>
      </c>
      <c r="M11" s="19"/>
      <c r="N11" s="189">
        <v>28.125</v>
      </c>
      <c r="O11" s="25"/>
      <c r="P11" s="188">
        <f>SUM(H11,J11,L11,N11)</f>
        <v>122.054</v>
      </c>
      <c r="Q11" s="19"/>
      <c r="R11" s="189">
        <v>25.2</v>
      </c>
      <c r="S11" s="189"/>
      <c r="T11" s="189">
        <v>39.095999999999997</v>
      </c>
      <c r="U11" s="19"/>
      <c r="V11" s="189">
        <v>26.231999999999999</v>
      </c>
      <c r="W11" s="19"/>
      <c r="X11" s="189">
        <v>27.433</v>
      </c>
      <c r="Y11" s="25"/>
      <c r="Z11" s="188">
        <f>SUM(R11,T11,V11,X11)</f>
        <v>117.96099999999998</v>
      </c>
      <c r="AA11" s="19"/>
      <c r="AB11" s="189">
        <v>26.434999999999999</v>
      </c>
    </row>
    <row r="12" spans="1:28" s="169" customFormat="1" ht="12.75" customHeight="1" x14ac:dyDescent="0.2">
      <c r="A12" s="15" t="s">
        <v>171</v>
      </c>
      <c r="B12" s="191">
        <v>147.99099999999999</v>
      </c>
      <c r="C12" s="21"/>
      <c r="D12" s="191">
        <v>160.834</v>
      </c>
      <c r="E12" s="21"/>
      <c r="F12" s="191">
        <v>161.58699999999999</v>
      </c>
      <c r="G12" s="21"/>
      <c r="H12" s="192">
        <v>33.892000000000003</v>
      </c>
      <c r="I12" s="21"/>
      <c r="J12" s="192">
        <v>36.661999999999999</v>
      </c>
      <c r="K12" s="21"/>
      <c r="L12" s="192">
        <v>36.421999999999997</v>
      </c>
      <c r="M12" s="21"/>
      <c r="N12" s="192">
        <v>41.174999999999997</v>
      </c>
      <c r="O12" s="24"/>
      <c r="P12" s="191">
        <f>SUM(H12,J12,L12,N12)</f>
        <v>148.15100000000001</v>
      </c>
      <c r="Q12" s="21"/>
      <c r="R12" s="192">
        <v>35.899000000000001</v>
      </c>
      <c r="S12" s="189"/>
      <c r="T12" s="192">
        <v>32.853000000000002</v>
      </c>
      <c r="U12" s="21"/>
      <c r="V12" s="192">
        <v>32.96</v>
      </c>
      <c r="W12" s="21"/>
      <c r="X12" s="192">
        <v>37.451999999999998</v>
      </c>
      <c r="Y12" s="24"/>
      <c r="Z12" s="191">
        <f>SUM(R12,T12,V12,X12)</f>
        <v>139.16400000000002</v>
      </c>
      <c r="AA12" s="21"/>
      <c r="AB12" s="192">
        <v>30.407</v>
      </c>
    </row>
    <row r="13" spans="1:28" s="169" customFormat="1" ht="12.75" customHeight="1" x14ac:dyDescent="0.2">
      <c r="A13" s="18" t="s">
        <v>8</v>
      </c>
      <c r="B13" s="23">
        <v>1166.95</v>
      </c>
      <c r="C13" s="21"/>
      <c r="D13" s="23">
        <v>1255.6780000000001</v>
      </c>
      <c r="E13" s="21"/>
      <c r="F13" s="23">
        <v>1293.5419999999999</v>
      </c>
      <c r="G13" s="21"/>
      <c r="H13" s="6">
        <f>SUM(H9:H12)</f>
        <v>324.92499999999995</v>
      </c>
      <c r="I13" s="21"/>
      <c r="J13" s="6">
        <f>SUM(J9:J12)</f>
        <v>328.7</v>
      </c>
      <c r="K13" s="21"/>
      <c r="L13" s="6">
        <f>SUM(L9:L12)</f>
        <v>336.63400000000001</v>
      </c>
      <c r="M13" s="21"/>
      <c r="N13" s="6">
        <f>SUM(N9:N12)</f>
        <v>366.70800000000003</v>
      </c>
      <c r="O13" s="24"/>
      <c r="P13" s="23">
        <f>SUM(P9:P12)</f>
        <v>1356.9670000000003</v>
      </c>
      <c r="Q13" s="21"/>
      <c r="R13" s="6">
        <f>SUM(R9:R12)</f>
        <v>325.44199999999995</v>
      </c>
      <c r="S13" s="22"/>
      <c r="T13" s="6">
        <f>SUM(T9:T12)</f>
        <v>314.11900000000003</v>
      </c>
      <c r="U13" s="21"/>
      <c r="V13" s="6">
        <f>SUM(V9:V12)</f>
        <v>303.113</v>
      </c>
      <c r="W13" s="21"/>
      <c r="X13" s="6">
        <f>SUM(X9:X12)</f>
        <v>312.565</v>
      </c>
      <c r="Y13" s="24"/>
      <c r="Z13" s="23">
        <f>SUM(Z9:Z12)</f>
        <v>1255.239</v>
      </c>
      <c r="AA13" s="21"/>
      <c r="AB13" s="6">
        <f>SUM(AB9:AB12)</f>
        <v>291.00299999999999</v>
      </c>
    </row>
    <row r="14" spans="1:28" s="169" customFormat="1" ht="12.75" customHeight="1" x14ac:dyDescent="0.2">
      <c r="A14" s="7"/>
      <c r="B14" s="20"/>
      <c r="C14" s="21"/>
      <c r="D14" s="20"/>
      <c r="E14" s="21"/>
      <c r="F14" s="20"/>
      <c r="G14" s="21"/>
      <c r="H14" s="19"/>
      <c r="I14" s="21"/>
      <c r="J14" s="19"/>
      <c r="K14" s="21"/>
      <c r="L14" s="19"/>
      <c r="M14" s="21"/>
      <c r="N14" s="19"/>
      <c r="O14" s="21"/>
      <c r="P14" s="20"/>
      <c r="Q14" s="21"/>
      <c r="R14" s="19"/>
      <c r="S14" s="21"/>
      <c r="T14" s="19"/>
      <c r="U14" s="21"/>
      <c r="V14" s="19"/>
      <c r="W14" s="21"/>
      <c r="X14" s="19"/>
      <c r="Y14" s="21"/>
      <c r="Z14" s="20"/>
      <c r="AA14" s="21"/>
      <c r="AB14" s="19"/>
    </row>
    <row r="15" spans="1:28" s="169" customFormat="1" ht="12.75" customHeight="1" x14ac:dyDescent="0.2">
      <c r="A15" s="5" t="s">
        <v>172</v>
      </c>
      <c r="B15" s="166"/>
      <c r="C15" s="24"/>
      <c r="D15" s="166"/>
      <c r="E15" s="24"/>
      <c r="F15" s="166"/>
      <c r="G15" s="24"/>
      <c r="H15" s="167"/>
      <c r="I15" s="24"/>
      <c r="J15" s="167"/>
      <c r="K15" s="24"/>
      <c r="L15" s="168"/>
      <c r="M15" s="24"/>
      <c r="N15" s="168"/>
      <c r="O15" s="24"/>
      <c r="P15" s="166"/>
      <c r="Q15" s="24"/>
      <c r="R15" s="167"/>
      <c r="S15" s="167"/>
      <c r="T15" s="168"/>
      <c r="U15" s="24"/>
      <c r="V15" s="168"/>
      <c r="W15" s="24"/>
      <c r="X15" s="168"/>
      <c r="Y15" s="24"/>
      <c r="Z15" s="166"/>
      <c r="AA15" s="24"/>
      <c r="AB15" s="167"/>
    </row>
    <row r="16" spans="1:28" s="169" customFormat="1" ht="12.75" customHeight="1" x14ac:dyDescent="0.2">
      <c r="A16" s="15" t="s">
        <v>168</v>
      </c>
      <c r="B16" s="170">
        <v>0.36780753245640346</v>
      </c>
      <c r="C16" s="171"/>
      <c r="D16" s="170">
        <v>0.3822086554036942</v>
      </c>
      <c r="E16" s="171"/>
      <c r="F16" s="170">
        <v>0.40415231975459631</v>
      </c>
      <c r="G16" s="171"/>
      <c r="H16" s="172">
        <f>H9/H$13</f>
        <v>0.42741555743633147</v>
      </c>
      <c r="I16" s="171"/>
      <c r="J16" s="172">
        <f>J9/J$13</f>
        <v>0.40881046547003347</v>
      </c>
      <c r="K16" s="171"/>
      <c r="L16" s="172">
        <f>L9/L$13</f>
        <v>0.3873019362274755</v>
      </c>
      <c r="M16" s="171"/>
      <c r="N16" s="172">
        <f>N9/N$13</f>
        <v>0.42278324988819443</v>
      </c>
      <c r="O16" s="171"/>
      <c r="P16" s="170">
        <f>P9/P$13</f>
        <v>0.41170566417606319</v>
      </c>
      <c r="Q16" s="171"/>
      <c r="R16" s="172">
        <f>R9/R$13</f>
        <v>0.41821584183971339</v>
      </c>
      <c r="S16" s="171"/>
      <c r="T16" s="172">
        <f>T9/T$13</f>
        <v>0.41969126350204855</v>
      </c>
      <c r="U16" s="171"/>
      <c r="V16" s="172">
        <f>V9/V$13</f>
        <v>0.44336600541712162</v>
      </c>
      <c r="W16" s="171"/>
      <c r="X16" s="172">
        <f>X9/X$13</f>
        <v>0.40945403356101928</v>
      </c>
      <c r="Y16" s="171"/>
      <c r="Z16" s="170">
        <f>Z9/Z$13</f>
        <v>0.42247651642436218</v>
      </c>
      <c r="AA16" s="171"/>
      <c r="AB16" s="172">
        <f>AB9/AB$13</f>
        <v>0.4347893320687416</v>
      </c>
    </row>
    <row r="17" spans="1:31" s="169" customFormat="1" ht="12.75" customHeight="1" x14ac:dyDescent="0.2">
      <c r="A17" s="16" t="s">
        <v>169</v>
      </c>
      <c r="B17" s="170">
        <v>0.39979519259608381</v>
      </c>
      <c r="C17" s="171"/>
      <c r="D17" s="170">
        <v>0.38249216757799365</v>
      </c>
      <c r="E17" s="171"/>
      <c r="F17" s="170">
        <v>0.37097906368714739</v>
      </c>
      <c r="G17" s="171"/>
      <c r="H17" s="172">
        <f t="shared" ref="H17:H19" si="0">H10/H$13</f>
        <v>0.39099484496422254</v>
      </c>
      <c r="I17" s="171"/>
      <c r="J17" s="172">
        <f t="shared" ref="J17:J19" si="1">J10/J$13</f>
        <v>0.3894675996349255</v>
      </c>
      <c r="K17" s="171"/>
      <c r="L17" s="172">
        <f t="shared" ref="L17:L19" si="2">L10/L$13</f>
        <v>0.38813370010159398</v>
      </c>
      <c r="M17" s="171"/>
      <c r="N17" s="172">
        <f t="shared" ref="N17:N19" si="3">N10/N$13</f>
        <v>0.38823805316491594</v>
      </c>
      <c r="O17" s="171"/>
      <c r="P17" s="170">
        <f t="shared" ref="P17:P19" si="4">P10/P$13</f>
        <v>0.38917011246404659</v>
      </c>
      <c r="Q17" s="171"/>
      <c r="R17" s="172">
        <f t="shared" ref="R17:R19" si="5">R10/R$13</f>
        <v>0.39404256365189499</v>
      </c>
      <c r="S17" s="171"/>
      <c r="T17" s="172">
        <f t="shared" ref="T17:T19" si="6">T10/T$13</f>
        <v>0.35125859944797988</v>
      </c>
      <c r="U17" s="171"/>
      <c r="V17" s="172">
        <f t="shared" ref="V17:V19" si="7">V10/V$13</f>
        <v>0.36135368657893263</v>
      </c>
      <c r="W17" s="171"/>
      <c r="X17" s="172">
        <f t="shared" ref="X17:X19" si="8">X10/X$13</f>
        <v>0.38295714491385791</v>
      </c>
      <c r="Y17" s="171"/>
      <c r="Z17" s="170">
        <f t="shared" ref="Z17:Z19" si="9">Z10/Z$13</f>
        <v>0.37268201513815297</v>
      </c>
      <c r="AA17" s="171"/>
      <c r="AB17" s="172">
        <f t="shared" ref="AB17:AB19" si="10">AB10/AB$13</f>
        <v>0.36987934832286951</v>
      </c>
    </row>
    <row r="18" spans="1:31" s="169" customFormat="1" ht="12.75" customHeight="1" x14ac:dyDescent="0.2">
      <c r="A18" s="16" t="s">
        <v>170</v>
      </c>
      <c r="B18" s="170">
        <v>0.10557864518616905</v>
      </c>
      <c r="C18" s="171"/>
      <c r="D18" s="170">
        <v>0.10721379207089715</v>
      </c>
      <c r="E18" s="171"/>
      <c r="F18" s="170">
        <v>9.9950368832245104E-2</v>
      </c>
      <c r="G18" s="171"/>
      <c r="H18" s="172">
        <f t="shared" si="0"/>
        <v>7.7282449796106809E-2</v>
      </c>
      <c r="I18" s="171"/>
      <c r="J18" s="172">
        <f t="shared" si="1"/>
        <v>9.0185579555825984E-2</v>
      </c>
      <c r="K18" s="171"/>
      <c r="L18" s="172">
        <f t="shared" si="2"/>
        <v>0.1163697071597046</v>
      </c>
      <c r="M18" s="171"/>
      <c r="N18" s="172">
        <f t="shared" si="3"/>
        <v>7.6695899734938969E-2</v>
      </c>
      <c r="O18" s="171"/>
      <c r="P18" s="170">
        <f t="shared" si="4"/>
        <v>8.994618144730121E-2</v>
      </c>
      <c r="Q18" s="171"/>
      <c r="R18" s="172">
        <f t="shared" si="5"/>
        <v>7.7433152451128015E-2</v>
      </c>
      <c r="S18" s="171"/>
      <c r="T18" s="172">
        <f t="shared" si="6"/>
        <v>0.12446238527437052</v>
      </c>
      <c r="U18" s="171"/>
      <c r="V18" s="172">
        <f t="shared" si="7"/>
        <v>8.6541982692923097E-2</v>
      </c>
      <c r="W18" s="171"/>
      <c r="X18" s="172">
        <f t="shared" si="8"/>
        <v>8.7767344392366387E-2</v>
      </c>
      <c r="Y18" s="171"/>
      <c r="Z18" s="170">
        <f t="shared" si="9"/>
        <v>9.3974932263895541E-2</v>
      </c>
      <c r="AA18" s="171"/>
      <c r="AB18" s="172">
        <f t="shared" si="10"/>
        <v>9.0840987893595598E-2</v>
      </c>
    </row>
    <row r="19" spans="1:31" s="169" customFormat="1" ht="12.75" customHeight="1" x14ac:dyDescent="0.2">
      <c r="A19" s="15" t="s">
        <v>171</v>
      </c>
      <c r="B19" s="173">
        <v>0.12681862976134364</v>
      </c>
      <c r="C19" s="172"/>
      <c r="D19" s="173">
        <v>0.12808538494741487</v>
      </c>
      <c r="E19" s="172"/>
      <c r="F19" s="173">
        <v>0.12491824772601122</v>
      </c>
      <c r="G19" s="172"/>
      <c r="H19" s="174">
        <f t="shared" si="0"/>
        <v>0.10430714780333926</v>
      </c>
      <c r="I19" s="172"/>
      <c r="J19" s="174">
        <f t="shared" si="1"/>
        <v>0.11153635533921509</v>
      </c>
      <c r="K19" s="172"/>
      <c r="L19" s="174">
        <f t="shared" si="2"/>
        <v>0.10819465651122583</v>
      </c>
      <c r="M19" s="172"/>
      <c r="N19" s="174">
        <f t="shared" si="3"/>
        <v>0.11228279721195064</v>
      </c>
      <c r="O19" s="171"/>
      <c r="P19" s="173">
        <f t="shared" si="4"/>
        <v>0.10917804191258887</v>
      </c>
      <c r="Q19" s="172"/>
      <c r="R19" s="174">
        <f t="shared" si="5"/>
        <v>0.11030844205726367</v>
      </c>
      <c r="S19" s="172"/>
      <c r="T19" s="174">
        <f t="shared" si="6"/>
        <v>0.10458775177560097</v>
      </c>
      <c r="U19" s="172"/>
      <c r="V19" s="174">
        <f t="shared" si="7"/>
        <v>0.10873832531102262</v>
      </c>
      <c r="W19" s="172"/>
      <c r="X19" s="174">
        <f t="shared" si="8"/>
        <v>0.11982147713275638</v>
      </c>
      <c r="Y19" s="171"/>
      <c r="Z19" s="173">
        <f t="shared" si="9"/>
        <v>0.11086653617358926</v>
      </c>
      <c r="AA19" s="172"/>
      <c r="AB19" s="174">
        <f t="shared" si="10"/>
        <v>0.10449033171479333</v>
      </c>
      <c r="AC19" s="175"/>
      <c r="AD19" s="175"/>
      <c r="AE19" s="175"/>
    </row>
    <row r="20" spans="1:31" s="169" customFormat="1" ht="12.75" customHeight="1" x14ac:dyDescent="0.2">
      <c r="A20" s="18" t="s">
        <v>8</v>
      </c>
      <c r="B20" s="170">
        <v>1</v>
      </c>
      <c r="C20" s="172"/>
      <c r="D20" s="170">
        <v>0.99999999999999978</v>
      </c>
      <c r="E20" s="172"/>
      <c r="F20" s="170">
        <v>1</v>
      </c>
      <c r="G20" s="172"/>
      <c r="H20" s="172">
        <f>SUM(H16:H19)</f>
        <v>1</v>
      </c>
      <c r="I20" s="172"/>
      <c r="J20" s="172">
        <f>SUM(J16:J19)</f>
        <v>1</v>
      </c>
      <c r="K20" s="172"/>
      <c r="L20" s="172">
        <f>SUM(L16:L19)</f>
        <v>1</v>
      </c>
      <c r="M20" s="172"/>
      <c r="N20" s="172">
        <f>SUM(N16:N19)</f>
        <v>1</v>
      </c>
      <c r="O20" s="171"/>
      <c r="P20" s="170">
        <f>SUM(P16:P19)</f>
        <v>0.99999999999999989</v>
      </c>
      <c r="Q20" s="172"/>
      <c r="R20" s="172">
        <f>SUM(R16:R19)</f>
        <v>1.0000000000000002</v>
      </c>
      <c r="S20" s="172"/>
      <c r="T20" s="172">
        <f>SUM(T16:T19)</f>
        <v>0.99999999999999989</v>
      </c>
      <c r="U20" s="172"/>
      <c r="V20" s="172">
        <f>SUM(V16:V19)</f>
        <v>1</v>
      </c>
      <c r="W20" s="172"/>
      <c r="X20" s="172">
        <f>SUM(X16:X19)</f>
        <v>1</v>
      </c>
      <c r="Y20" s="171"/>
      <c r="Z20" s="170">
        <f>SUM(Z16:Z19)</f>
        <v>0.99999999999999989</v>
      </c>
      <c r="AA20" s="172"/>
      <c r="AB20" s="172">
        <f>SUM(AB16:AB19)</f>
        <v>1</v>
      </c>
      <c r="AC20" s="175"/>
      <c r="AD20" s="175"/>
      <c r="AE20" s="175"/>
    </row>
    <row r="21" spans="1:31" s="169" customFormat="1" ht="12.75" customHeight="1" x14ac:dyDescent="0.2">
      <c r="A21" s="7"/>
      <c r="B21" s="193"/>
      <c r="C21" s="21"/>
      <c r="D21" s="193"/>
      <c r="E21" s="21"/>
      <c r="F21" s="193"/>
      <c r="G21" s="21"/>
      <c r="H21" s="194"/>
      <c r="I21" s="21"/>
      <c r="J21" s="194"/>
      <c r="K21" s="21"/>
      <c r="L21" s="194"/>
      <c r="M21" s="21"/>
      <c r="N21" s="194"/>
      <c r="O21" s="24"/>
      <c r="P21" s="193"/>
      <c r="Q21" s="21"/>
      <c r="R21" s="194"/>
      <c r="S21" s="195"/>
      <c r="T21" s="194"/>
      <c r="U21" s="21"/>
      <c r="V21" s="194"/>
      <c r="W21" s="21"/>
      <c r="X21" s="194"/>
      <c r="Y21" s="24"/>
      <c r="Z21" s="193"/>
      <c r="AA21" s="21"/>
      <c r="AB21" s="194"/>
    </row>
    <row r="22" spans="1:31" s="169" customFormat="1" ht="12.75" customHeight="1" x14ac:dyDescent="0.2">
      <c r="A22" s="5" t="s">
        <v>173</v>
      </c>
      <c r="B22" s="166"/>
      <c r="C22" s="24"/>
      <c r="D22" s="166"/>
      <c r="E22" s="24"/>
      <c r="F22" s="166"/>
      <c r="G22" s="24"/>
      <c r="H22" s="167"/>
      <c r="I22" s="24"/>
      <c r="J22" s="167"/>
      <c r="K22" s="24"/>
      <c r="L22" s="168"/>
      <c r="M22" s="24"/>
      <c r="N22" s="168"/>
      <c r="O22" s="24"/>
      <c r="P22" s="166"/>
      <c r="Q22" s="24"/>
      <c r="R22" s="167"/>
      <c r="S22" s="167"/>
      <c r="T22" s="168"/>
      <c r="U22" s="24"/>
      <c r="V22" s="168"/>
      <c r="W22" s="24"/>
      <c r="X22" s="168"/>
      <c r="Y22" s="24"/>
      <c r="Z22" s="166"/>
      <c r="AA22" s="24"/>
      <c r="AB22" s="167"/>
    </row>
    <row r="23" spans="1:31" s="169" customFormat="1" ht="12.75" customHeight="1" x14ac:dyDescent="0.2">
      <c r="A23" s="15" t="s">
        <v>168</v>
      </c>
      <c r="B23" s="170">
        <v>0.11237728455469975</v>
      </c>
      <c r="C23" s="171"/>
      <c r="D23" s="170">
        <v>0.11816510683506776</v>
      </c>
      <c r="E23" s="171"/>
      <c r="F23" s="170">
        <v>8.9298253290577279E-2</v>
      </c>
      <c r="G23" s="171"/>
      <c r="H23" s="172">
        <v>4.6887485112092842E-2</v>
      </c>
      <c r="I23" s="171"/>
      <c r="J23" s="172">
        <v>0.137333897587812</v>
      </c>
      <c r="K23" s="171"/>
      <c r="L23" s="172">
        <v>6.7720961838426685E-3</v>
      </c>
      <c r="M23" s="171"/>
      <c r="N23" s="172">
        <v>8.8153960611462745E-2</v>
      </c>
      <c r="O23" s="171"/>
      <c r="P23" s="170">
        <f>P9/F9-1</f>
        <v>6.8637765212667512E-2</v>
      </c>
      <c r="Q23" s="171"/>
      <c r="R23" s="172">
        <f>R9/H9-1</f>
        <v>-1.9967165425769373E-2</v>
      </c>
      <c r="S23" s="171"/>
      <c r="T23" s="172">
        <f>T9/J9-1</f>
        <v>-1.8924510329225486E-2</v>
      </c>
      <c r="U23" s="171"/>
      <c r="V23" s="172">
        <f>V9/L9-1</f>
        <v>3.0764156804393261E-2</v>
      </c>
      <c r="W23" s="171"/>
      <c r="X23" s="172">
        <f>X9/N9-1</f>
        <v>-0.17451850514067524</v>
      </c>
      <c r="Y23" s="171"/>
      <c r="Z23" s="170">
        <f>Z9/P9-1</f>
        <v>-5.0766909325882459E-2</v>
      </c>
      <c r="AA23" s="171"/>
      <c r="AB23" s="172">
        <f>AB9/R9-1</f>
        <v>-7.038683369457388E-2</v>
      </c>
    </row>
    <row r="24" spans="1:31" s="169" customFormat="1" ht="12.75" customHeight="1" x14ac:dyDescent="0.2">
      <c r="A24" s="16" t="s">
        <v>169</v>
      </c>
      <c r="B24" s="170">
        <v>0.20083446156380469</v>
      </c>
      <c r="C24" s="171"/>
      <c r="D24" s="170">
        <v>2.9463648425325895E-2</v>
      </c>
      <c r="E24" s="171"/>
      <c r="F24" s="170">
        <v>-8.5365625136635259E-4</v>
      </c>
      <c r="G24" s="171"/>
      <c r="H24" s="172">
        <v>6.1761412071472677E-2</v>
      </c>
      <c r="I24" s="171"/>
      <c r="J24" s="172">
        <v>7.7220824462937987E-2</v>
      </c>
      <c r="K24" s="171"/>
      <c r="L24" s="172">
        <v>0.13198180636777113</v>
      </c>
      <c r="M24" s="171"/>
      <c r="N24" s="172">
        <v>0.13030637439761206</v>
      </c>
      <c r="O24" s="171"/>
      <c r="P24" s="170">
        <f>P10/F10-1</f>
        <v>0.10047157917549709</v>
      </c>
      <c r="Q24" s="171"/>
      <c r="R24" s="172">
        <f>R10/H10-1</f>
        <v>9.3983186927364404E-3</v>
      </c>
      <c r="S24" s="171"/>
      <c r="T24" s="172">
        <f>T10/J10-1</f>
        <v>-0.13811339030448844</v>
      </c>
      <c r="U24" s="171"/>
      <c r="V24" s="172">
        <f>V10/L10-1</f>
        <v>-0.16170336524847106</v>
      </c>
      <c r="W24" s="171"/>
      <c r="X24" s="172">
        <f>X10/N10-1</f>
        <v>-0.15924000842874209</v>
      </c>
      <c r="Y24" s="171"/>
      <c r="Z24" s="170">
        <f>Z10/P10-1</f>
        <v>-0.11415835528346441</v>
      </c>
      <c r="AA24" s="171"/>
      <c r="AB24" s="172">
        <f>AB10/R10-1</f>
        <v>-0.16065440820973509</v>
      </c>
    </row>
    <row r="25" spans="1:31" s="169" customFormat="1" ht="12.75" customHeight="1" x14ac:dyDescent="0.2">
      <c r="A25" s="16" t="s">
        <v>170</v>
      </c>
      <c r="B25" s="170">
        <v>0.18409418548774625</v>
      </c>
      <c r="C25" s="171"/>
      <c r="D25" s="170">
        <v>9.2699159936691089E-2</v>
      </c>
      <c r="E25" s="171"/>
      <c r="F25" s="170">
        <v>-3.9635731582309597E-2</v>
      </c>
      <c r="G25" s="171"/>
      <c r="H25" s="172">
        <v>-0.12860464309261888</v>
      </c>
      <c r="I25" s="171"/>
      <c r="J25" s="172">
        <v>-0.21303990018317442</v>
      </c>
      <c r="K25" s="171"/>
      <c r="L25" s="172">
        <v>0.15892550736642796</v>
      </c>
      <c r="M25" s="171"/>
      <c r="N25" s="172">
        <v>-3.0239293841804016E-2</v>
      </c>
      <c r="O25" s="171"/>
      <c r="P25" s="170">
        <f>P11/F11-1</f>
        <v>-5.596720550699974E-2</v>
      </c>
      <c r="Q25" s="171"/>
      <c r="R25" s="172">
        <f>R11/H11-1</f>
        <v>3.5442634701923215E-3</v>
      </c>
      <c r="S25" s="171"/>
      <c r="T25" s="172">
        <f>T11/J11-1</f>
        <v>0.31885035757657532</v>
      </c>
      <c r="U25" s="171"/>
      <c r="V25" s="172">
        <f>V11/L11-1</f>
        <v>-0.33037218563332826</v>
      </c>
      <c r="W25" s="171"/>
      <c r="X25" s="172">
        <f>X11/N11-1</f>
        <v>-2.4604444444444429E-2</v>
      </c>
      <c r="Y25" s="171"/>
      <c r="Z25" s="170">
        <f>Z11/P11-1</f>
        <v>-3.353433726055699E-2</v>
      </c>
      <c r="AA25" s="171"/>
      <c r="AB25" s="172">
        <f>AB11/R11-1</f>
        <v>4.9007936507936556E-2</v>
      </c>
    </row>
    <row r="26" spans="1:31" s="169" customFormat="1" ht="12.75" customHeight="1" x14ac:dyDescent="0.2">
      <c r="A26" s="15" t="s">
        <v>171</v>
      </c>
      <c r="B26" s="173">
        <v>0.12427829099307153</v>
      </c>
      <c r="C26" s="172"/>
      <c r="D26" s="173">
        <v>8.6782304329317439E-2</v>
      </c>
      <c r="E26" s="172"/>
      <c r="F26" s="173">
        <v>4.68184587835907E-3</v>
      </c>
      <c r="G26" s="172"/>
      <c r="H26" s="174">
        <v>-0.12249177950961854</v>
      </c>
      <c r="I26" s="172"/>
      <c r="J26" s="174">
        <v>-6.6863498689200607E-2</v>
      </c>
      <c r="K26" s="172"/>
      <c r="L26" s="174">
        <v>4.2738577770422559E-3</v>
      </c>
      <c r="M26" s="172"/>
      <c r="N26" s="174">
        <v>-0.13147570030374633</v>
      </c>
      <c r="O26" s="171"/>
      <c r="P26" s="173">
        <f>P12/F12-1</f>
        <v>-8.3150253423852072E-2</v>
      </c>
      <c r="Q26" s="172"/>
      <c r="R26" s="174">
        <f>R12/H12-1</f>
        <v>5.9217514457688969E-2</v>
      </c>
      <c r="S26" s="172"/>
      <c r="T26" s="174">
        <f>T12/J12-1</f>
        <v>-0.10389504118706006</v>
      </c>
      <c r="U26" s="172"/>
      <c r="V26" s="174">
        <f>V12/L12-1</f>
        <v>-9.505244083246378E-2</v>
      </c>
      <c r="W26" s="172"/>
      <c r="X26" s="174">
        <f>X12/N12-1</f>
        <v>-9.0418943533697615E-2</v>
      </c>
      <c r="Y26" s="171"/>
      <c r="Z26" s="173">
        <f>Z12/P12-1</f>
        <v>-6.0661082274166223E-2</v>
      </c>
      <c r="AA26" s="172"/>
      <c r="AB26" s="174">
        <f>AB12/R12-1</f>
        <v>-0.15298476280676343</v>
      </c>
      <c r="AC26" s="175"/>
      <c r="AD26" s="175"/>
      <c r="AE26" s="175"/>
    </row>
    <row r="27" spans="1:31" s="169" customFormat="1" ht="12.75" customHeight="1" x14ac:dyDescent="0.2">
      <c r="A27" s="18" t="s">
        <v>8</v>
      </c>
      <c r="B27" s="170">
        <v>0.15534113230262325</v>
      </c>
      <c r="C27" s="172"/>
      <c r="D27" s="170">
        <v>7.6034106002828006E-2</v>
      </c>
      <c r="E27" s="172"/>
      <c r="F27" s="170">
        <v>3.0154227437288794E-2</v>
      </c>
      <c r="G27" s="172"/>
      <c r="H27" s="172">
        <v>1.61781630763842E-2</v>
      </c>
      <c r="I27" s="172"/>
      <c r="J27" s="172">
        <v>4.6985338382985908E-2</v>
      </c>
      <c r="K27" s="172"/>
      <c r="L27" s="172">
        <v>6.8692935783311482E-2</v>
      </c>
      <c r="M27" s="172"/>
      <c r="N27" s="172">
        <v>6.3399498325334536E-2</v>
      </c>
      <c r="O27" s="171"/>
      <c r="P27" s="170">
        <f>P13/F13-1</f>
        <v>4.9032037614550106E-2</v>
      </c>
      <c r="Q27" s="172"/>
      <c r="R27" s="172">
        <f>R13/H13-1</f>
        <v>1.591136416096095E-3</v>
      </c>
      <c r="S27" s="172"/>
      <c r="T27" s="172">
        <f>T13/J13-1</f>
        <v>-4.4359598418010182E-2</v>
      </c>
      <c r="U27" s="172"/>
      <c r="V27" s="172">
        <f>V13/L13-1</f>
        <v>-9.9576988658305554E-2</v>
      </c>
      <c r="W27" s="172"/>
      <c r="X27" s="172">
        <f>X13/N13-1</f>
        <v>-0.14764608353240183</v>
      </c>
      <c r="Y27" s="171"/>
      <c r="Z27" s="170">
        <f>Z13/P13-1</f>
        <v>-7.4967187853499984E-2</v>
      </c>
      <c r="AA27" s="172"/>
      <c r="AB27" s="172">
        <f>AB13/R13-1</f>
        <v>-0.10582223560573001</v>
      </c>
      <c r="AC27" s="175"/>
      <c r="AD27" s="175"/>
      <c r="AE27" s="175"/>
    </row>
    <row r="28" spans="1:31" s="169" customFormat="1" ht="12.75" customHeight="1" x14ac:dyDescent="0.2">
      <c r="A28" s="7"/>
      <c r="B28" s="193"/>
      <c r="C28" s="21"/>
      <c r="D28" s="193"/>
      <c r="E28" s="21"/>
      <c r="F28" s="193"/>
      <c r="G28" s="21"/>
      <c r="H28" s="194"/>
      <c r="I28" s="21"/>
      <c r="J28" s="194"/>
      <c r="K28" s="21"/>
      <c r="L28" s="194"/>
      <c r="M28" s="21"/>
      <c r="N28" s="194"/>
      <c r="O28" s="24"/>
      <c r="P28" s="193"/>
      <c r="Q28" s="21"/>
      <c r="R28" s="194"/>
      <c r="S28" s="195"/>
      <c r="T28" s="194"/>
      <c r="U28" s="21"/>
      <c r="V28" s="194"/>
      <c r="W28" s="21"/>
      <c r="X28" s="172"/>
      <c r="Y28" s="24"/>
      <c r="Z28" s="170"/>
      <c r="AA28" s="21"/>
      <c r="AB28" s="194"/>
    </row>
    <row r="29" spans="1:31" s="169" customFormat="1" ht="12.75" customHeight="1" x14ac:dyDescent="0.2">
      <c r="A29" s="5" t="s">
        <v>174</v>
      </c>
      <c r="B29" s="166"/>
      <c r="C29" s="24"/>
      <c r="D29" s="166"/>
      <c r="E29" s="24"/>
      <c r="F29" s="166"/>
      <c r="G29" s="24"/>
      <c r="H29" s="167"/>
      <c r="I29" s="24"/>
      <c r="J29" s="167"/>
      <c r="K29" s="24"/>
      <c r="L29" s="168"/>
      <c r="M29" s="24"/>
      <c r="N29" s="168"/>
      <c r="O29" s="24"/>
      <c r="P29" s="166"/>
      <c r="Q29" s="24"/>
      <c r="R29" s="167"/>
      <c r="S29" s="167"/>
      <c r="T29" s="168"/>
      <c r="U29" s="24"/>
      <c r="V29" s="168"/>
      <c r="W29" s="24"/>
      <c r="X29" s="196"/>
      <c r="Y29" s="24"/>
      <c r="Z29" s="197"/>
      <c r="AA29" s="24"/>
      <c r="AB29" s="167"/>
    </row>
    <row r="30" spans="1:31" s="169" customFormat="1" ht="12.75" customHeight="1" x14ac:dyDescent="0.2">
      <c r="A30" s="15" t="s">
        <v>168</v>
      </c>
      <c r="B30" s="170">
        <v>0.112</v>
      </c>
      <c r="C30" s="171"/>
      <c r="D30" s="170">
        <v>0.11799999999999999</v>
      </c>
      <c r="E30" s="171"/>
      <c r="F30" s="170">
        <v>0.09</v>
      </c>
      <c r="G30" s="171"/>
      <c r="H30" s="172">
        <v>0.05</v>
      </c>
      <c r="I30" s="171"/>
      <c r="J30" s="172">
        <v>0.14199999999999999</v>
      </c>
      <c r="K30" s="171"/>
      <c r="L30" s="172">
        <v>1.0999999999999999E-2</v>
      </c>
      <c r="M30" s="171"/>
      <c r="N30" s="172">
        <v>8.7999999999999995E-2</v>
      </c>
      <c r="O30" s="171"/>
      <c r="P30" s="170">
        <v>7.0999999999999994E-2</v>
      </c>
      <c r="Q30" s="171"/>
      <c r="R30" s="172">
        <v>-1.7000000000000001E-2</v>
      </c>
      <c r="S30" s="171"/>
      <c r="T30" s="172">
        <v>-1.2999999999999999E-2</v>
      </c>
      <c r="U30" s="171"/>
      <c r="V30" s="172">
        <v>0.04</v>
      </c>
      <c r="W30" s="171"/>
      <c r="X30" s="172">
        <v>-0.16628000000000001</v>
      </c>
      <c r="Y30" s="171"/>
      <c r="Z30" s="170">
        <v>-4.4080000000000001E-2</v>
      </c>
      <c r="AA30" s="171"/>
      <c r="AB30" s="172">
        <v>-5.9666487853532527E-2</v>
      </c>
    </row>
    <row r="31" spans="1:31" s="169" customFormat="1" ht="12.75" customHeight="1" x14ac:dyDescent="0.2">
      <c r="A31" s="16" t="s">
        <v>169</v>
      </c>
      <c r="B31" s="170">
        <v>0.14699999999999999</v>
      </c>
      <c r="C31" s="171"/>
      <c r="D31" s="170">
        <v>8.6999999999999994E-2</v>
      </c>
      <c r="E31" s="171"/>
      <c r="F31" s="170">
        <v>-7.0000000000000001E-3</v>
      </c>
      <c r="G31" s="171"/>
      <c r="H31" s="172">
        <v>2.1999999999999999E-2</v>
      </c>
      <c r="I31" s="171"/>
      <c r="J31" s="172">
        <v>5.8000000000000003E-2</v>
      </c>
      <c r="K31" s="171"/>
      <c r="L31" s="172">
        <v>7.4999999999999997E-2</v>
      </c>
      <c r="M31" s="171"/>
      <c r="N31" s="172">
        <v>0.114</v>
      </c>
      <c r="O31" s="171"/>
      <c r="P31" s="170">
        <v>6.8000000000000005E-2</v>
      </c>
      <c r="Q31" s="171"/>
      <c r="R31" s="172">
        <v>7.8E-2</v>
      </c>
      <c r="S31" s="171"/>
      <c r="T31" s="172">
        <v>3.0000000000000001E-3</v>
      </c>
      <c r="U31" s="171"/>
      <c r="V31" s="172">
        <v>2.4E-2</v>
      </c>
      <c r="W31" s="171"/>
      <c r="X31" s="172">
        <v>-1.1999999999999999E-3</v>
      </c>
      <c r="Y31" s="171"/>
      <c r="Z31" s="170">
        <v>2.5159999999999998E-2</v>
      </c>
      <c r="AA31" s="171"/>
      <c r="AB31" s="172">
        <v>-0.05</v>
      </c>
    </row>
    <row r="32" spans="1:31" s="169" customFormat="1" ht="12.75" customHeight="1" x14ac:dyDescent="0.2">
      <c r="A32" s="16" t="s">
        <v>170</v>
      </c>
      <c r="B32" s="170">
        <v>7.1999999999999995E-2</v>
      </c>
      <c r="C32" s="171"/>
      <c r="D32" s="170">
        <v>5.5E-2</v>
      </c>
      <c r="E32" s="171"/>
      <c r="F32" s="170">
        <v>0.121</v>
      </c>
      <c r="G32" s="171"/>
      <c r="H32" s="172">
        <v>8.1000000000000003E-2</v>
      </c>
      <c r="I32" s="171"/>
      <c r="J32" s="172">
        <v>-9.7000000000000003E-2</v>
      </c>
      <c r="K32" s="171"/>
      <c r="L32" s="172">
        <v>0.19700000000000001</v>
      </c>
      <c r="M32" s="171"/>
      <c r="N32" s="172">
        <v>8.0000000000000002E-3</v>
      </c>
      <c r="O32" s="171"/>
      <c r="P32" s="170">
        <v>4.2999999999999997E-2</v>
      </c>
      <c r="Q32" s="171"/>
      <c r="R32" s="172">
        <v>0.121</v>
      </c>
      <c r="S32" s="171"/>
      <c r="T32" s="172">
        <v>0.52100000000000002</v>
      </c>
      <c r="U32" s="171"/>
      <c r="V32" s="172">
        <v>-0.21299999999999999</v>
      </c>
      <c r="W32" s="171"/>
      <c r="X32" s="172">
        <v>0.17563000000000001</v>
      </c>
      <c r="Y32" s="171"/>
      <c r="Z32" s="170">
        <v>0.12359000000000001</v>
      </c>
      <c r="AA32" s="171"/>
      <c r="AB32" s="172">
        <v>0.15230729939020934</v>
      </c>
    </row>
    <row r="33" spans="1:31" s="169" customFormat="1" ht="12.75" customHeight="1" x14ac:dyDescent="0.2">
      <c r="A33" s="15" t="s">
        <v>171</v>
      </c>
      <c r="B33" s="173">
        <v>9.1999999999999998E-2</v>
      </c>
      <c r="C33" s="172"/>
      <c r="D33" s="173">
        <v>0.104</v>
      </c>
      <c r="E33" s="172"/>
      <c r="F33" s="173">
        <v>-1E-3</v>
      </c>
      <c r="G33" s="172"/>
      <c r="H33" s="174">
        <v>-0.122</v>
      </c>
      <c r="I33" s="172"/>
      <c r="J33" s="174">
        <v>-6.3E-2</v>
      </c>
      <c r="K33" s="172"/>
      <c r="L33" s="174">
        <v>3.0000000000000001E-3</v>
      </c>
      <c r="M33" s="172"/>
      <c r="N33" s="174">
        <v>-0.14699999999999999</v>
      </c>
      <c r="O33" s="171"/>
      <c r="P33" s="173">
        <v>-8.6999999999999994E-2</v>
      </c>
      <c r="Q33" s="172"/>
      <c r="R33" s="174">
        <v>6.6000000000000003E-2</v>
      </c>
      <c r="S33" s="172"/>
      <c r="T33" s="174">
        <v>-8.4000000000000005E-2</v>
      </c>
      <c r="U33" s="172"/>
      <c r="V33" s="174">
        <v>-7.6999999999999999E-2</v>
      </c>
      <c r="W33" s="172"/>
      <c r="X33" s="174">
        <v>-5.1139999999999998E-2</v>
      </c>
      <c r="Y33" s="171"/>
      <c r="Z33" s="173">
        <v>-3.8980000000000001E-2</v>
      </c>
      <c r="AA33" s="172"/>
      <c r="AB33" s="174">
        <v>-0.10846257293786944</v>
      </c>
      <c r="AC33" s="175"/>
      <c r="AD33" s="175"/>
      <c r="AE33" s="175"/>
    </row>
    <row r="34" spans="1:31" s="169" customFormat="1" ht="12.75" customHeight="1" x14ac:dyDescent="0.2">
      <c r="A34" s="18" t="s">
        <v>8</v>
      </c>
      <c r="B34" s="170">
        <v>0.11899999999999999</v>
      </c>
      <c r="C34" s="172"/>
      <c r="D34" s="170">
        <v>9.8000000000000004E-2</v>
      </c>
      <c r="E34" s="172"/>
      <c r="F34" s="170">
        <v>4.4600000000000001E-2</v>
      </c>
      <c r="G34" s="172"/>
      <c r="H34" s="172">
        <v>2.1999999999999999E-2</v>
      </c>
      <c r="I34" s="172"/>
      <c r="J34" s="172">
        <v>5.6000000000000001E-2</v>
      </c>
      <c r="K34" s="172"/>
      <c r="L34" s="172">
        <v>5.2999999999999999E-2</v>
      </c>
      <c r="M34" s="172"/>
      <c r="N34" s="172">
        <v>5.8999999999999997E-2</v>
      </c>
      <c r="O34" s="171"/>
      <c r="P34" s="170">
        <v>4.7E-2</v>
      </c>
      <c r="Q34" s="172"/>
      <c r="R34" s="172">
        <v>0.04</v>
      </c>
      <c r="S34" s="172"/>
      <c r="T34" s="172">
        <v>3.4000000000000002E-2</v>
      </c>
      <c r="U34" s="172"/>
      <c r="V34" s="172">
        <v>-8.0000000000000002E-3</v>
      </c>
      <c r="W34" s="172"/>
      <c r="X34" s="172">
        <v>-6.3039999999999999E-2</v>
      </c>
      <c r="Y34" s="171"/>
      <c r="Z34" s="170">
        <v>-1.49E-3</v>
      </c>
      <c r="AA34" s="172"/>
      <c r="AB34" s="172">
        <v>-4.0582527712049801E-2</v>
      </c>
      <c r="AC34" s="175"/>
      <c r="AD34" s="175"/>
      <c r="AE34" s="175"/>
    </row>
    <row r="35" spans="1:31" s="169" customFormat="1" ht="12.75" customHeight="1" x14ac:dyDescent="0.2">
      <c r="A35" s="7"/>
      <c r="B35" s="20"/>
      <c r="C35" s="21"/>
      <c r="D35" s="20"/>
      <c r="E35" s="21"/>
      <c r="F35" s="20"/>
      <c r="G35" s="21"/>
      <c r="H35" s="19"/>
      <c r="I35" s="21"/>
      <c r="J35" s="19"/>
      <c r="K35" s="21"/>
      <c r="L35" s="19"/>
      <c r="M35" s="21"/>
      <c r="N35" s="19"/>
      <c r="O35" s="24"/>
      <c r="P35" s="20"/>
      <c r="Q35" s="21"/>
      <c r="R35" s="19"/>
      <c r="S35" s="19"/>
      <c r="T35" s="19"/>
      <c r="U35" s="21"/>
      <c r="V35" s="19"/>
      <c r="W35" s="21"/>
      <c r="X35" s="19"/>
      <c r="Y35" s="24"/>
      <c r="Z35" s="20"/>
      <c r="AA35" s="21"/>
      <c r="AB35" s="19"/>
    </row>
    <row r="36" spans="1:31" s="169" customFormat="1" ht="12.75" customHeight="1" x14ac:dyDescent="0.2">
      <c r="A36" s="5" t="s">
        <v>175</v>
      </c>
      <c r="B36" s="166"/>
      <c r="C36" s="24"/>
      <c r="D36" s="166"/>
      <c r="E36" s="24"/>
      <c r="F36" s="166"/>
      <c r="G36" s="24"/>
      <c r="H36" s="167"/>
      <c r="I36" s="24"/>
      <c r="J36" s="167"/>
      <c r="K36" s="24"/>
      <c r="L36" s="168"/>
      <c r="M36" s="24"/>
      <c r="N36" s="168"/>
      <c r="O36" s="24"/>
      <c r="P36" s="166"/>
      <c r="Q36" s="24"/>
      <c r="R36" s="167"/>
      <c r="S36" s="167"/>
      <c r="T36" s="168"/>
      <c r="U36" s="24"/>
      <c r="V36" s="168"/>
      <c r="W36" s="24"/>
      <c r="X36" s="168"/>
      <c r="Y36" s="24"/>
      <c r="Z36" s="166"/>
      <c r="AA36" s="24"/>
      <c r="AB36" s="167"/>
    </row>
    <row r="37" spans="1:31" s="169" customFormat="1" ht="12.75" customHeight="1" x14ac:dyDescent="0.2">
      <c r="A37" s="15" t="s">
        <v>168</v>
      </c>
      <c r="B37" s="23">
        <v>430.62099999999998</v>
      </c>
      <c r="C37" s="24"/>
      <c r="D37" s="23">
        <v>481.31100000000004</v>
      </c>
      <c r="E37" s="24"/>
      <c r="F37" s="23">
        <v>525.17099999999994</v>
      </c>
      <c r="G37" s="24"/>
      <c r="H37" s="6">
        <v>138.87799999999999</v>
      </c>
      <c r="I37" s="24"/>
      <c r="J37" s="6">
        <v>134.376</v>
      </c>
      <c r="K37" s="24"/>
      <c r="L37" s="6">
        <v>130.37899999999999</v>
      </c>
      <c r="M37" s="24"/>
      <c r="N37" s="6">
        <v>156.18299999999999</v>
      </c>
      <c r="O37" s="24"/>
      <c r="P37" s="23">
        <f>SUM(H37,J37,L37,N37)</f>
        <v>559.81600000000003</v>
      </c>
      <c r="Q37" s="24"/>
      <c r="R37" s="6">
        <v>137.24100000000001</v>
      </c>
      <c r="S37" s="22"/>
      <c r="T37" s="6">
        <v>132.78700000000001</v>
      </c>
      <c r="U37" s="24"/>
      <c r="V37" s="6">
        <v>135.07599999999999</v>
      </c>
      <c r="W37" s="24"/>
      <c r="X37" s="6">
        <v>128.447</v>
      </c>
      <c r="Y37" s="24"/>
      <c r="Z37" s="23">
        <f>SUM(R37,T37,V37,X37)</f>
        <v>533.55100000000004</v>
      </c>
      <c r="AA37" s="24"/>
      <c r="AB37" s="6">
        <v>126.899002</v>
      </c>
    </row>
    <row r="38" spans="1:31" s="190" customFormat="1" ht="12.75" customHeight="1" x14ac:dyDescent="0.2">
      <c r="A38" s="16" t="s">
        <v>169</v>
      </c>
      <c r="B38" s="188">
        <v>467.447</v>
      </c>
      <c r="C38" s="19"/>
      <c r="D38" s="188">
        <v>481.029</v>
      </c>
      <c r="E38" s="19"/>
      <c r="F38" s="188">
        <v>480.26800000000003</v>
      </c>
      <c r="G38" s="19"/>
      <c r="H38" s="189">
        <v>127.044</v>
      </c>
      <c r="I38" s="19"/>
      <c r="J38" s="189">
        <v>128.018</v>
      </c>
      <c r="K38" s="19"/>
      <c r="L38" s="189">
        <v>130.65899999999999</v>
      </c>
      <c r="M38" s="19"/>
      <c r="N38" s="189">
        <v>142.45699999999999</v>
      </c>
      <c r="O38" s="25"/>
      <c r="P38" s="188">
        <f>SUM(H38,J38,L38,N38)</f>
        <v>528.178</v>
      </c>
      <c r="Q38" s="19"/>
      <c r="R38" s="189">
        <v>128.47</v>
      </c>
      <c r="S38" s="189"/>
      <c r="T38" s="189">
        <v>110.486</v>
      </c>
      <c r="U38" s="19"/>
      <c r="V38" s="189">
        <v>109.60599999999999</v>
      </c>
      <c r="W38" s="19"/>
      <c r="X38" s="189">
        <v>119.753</v>
      </c>
      <c r="Y38" s="25"/>
      <c r="Z38" s="188">
        <f>SUM(R38,T38,V38,X38)</f>
        <v>468.315</v>
      </c>
      <c r="AA38" s="19"/>
      <c r="AB38" s="189">
        <v>107.747969</v>
      </c>
    </row>
    <row r="39" spans="1:31" s="190" customFormat="1" ht="12.75" customHeight="1" x14ac:dyDescent="0.2">
      <c r="A39" s="16" t="s">
        <v>170</v>
      </c>
      <c r="B39" s="188">
        <v>123.443</v>
      </c>
      <c r="C39" s="19"/>
      <c r="D39" s="188">
        <v>134.93800000000002</v>
      </c>
      <c r="E39" s="19"/>
      <c r="F39" s="188">
        <v>129.55099999999999</v>
      </c>
      <c r="G39" s="19"/>
      <c r="H39" s="189">
        <v>25.111000000000001</v>
      </c>
      <c r="I39" s="19"/>
      <c r="J39" s="189">
        <v>29.643999999999998</v>
      </c>
      <c r="K39" s="19"/>
      <c r="L39" s="189">
        <v>39.173999999999999</v>
      </c>
      <c r="M39" s="19"/>
      <c r="N39" s="189">
        <v>28.138000000000002</v>
      </c>
      <c r="O39" s="25"/>
      <c r="P39" s="188">
        <f>SUM(H39,J39,L39,N39)</f>
        <v>122.06700000000001</v>
      </c>
      <c r="Q39" s="19"/>
      <c r="R39" s="189">
        <v>25.224</v>
      </c>
      <c r="S39" s="189"/>
      <c r="T39" s="189">
        <v>39.116</v>
      </c>
      <c r="U39" s="19"/>
      <c r="V39" s="189">
        <v>26.251000000000001</v>
      </c>
      <c r="W39" s="19"/>
      <c r="X39" s="189">
        <v>27.454000000000001</v>
      </c>
      <c r="Y39" s="25"/>
      <c r="Z39" s="188">
        <f>SUM(R39,T39,V39,X39)</f>
        <v>118.04500000000002</v>
      </c>
      <c r="AA39" s="19"/>
      <c r="AB39" s="189">
        <v>26.440747999999999</v>
      </c>
    </row>
    <row r="40" spans="1:31" s="169" customFormat="1" ht="12.75" customHeight="1" x14ac:dyDescent="0.2">
      <c r="A40" s="15" t="s">
        <v>171</v>
      </c>
      <c r="B40" s="191">
        <v>148.04499999999999</v>
      </c>
      <c r="C40" s="21"/>
      <c r="D40" s="191">
        <v>160.88499999999999</v>
      </c>
      <c r="E40" s="21"/>
      <c r="F40" s="191">
        <v>161.58600000000001</v>
      </c>
      <c r="G40" s="21"/>
      <c r="H40" s="192">
        <v>33.892000000000003</v>
      </c>
      <c r="I40" s="21"/>
      <c r="J40" s="192">
        <v>36.661999999999999</v>
      </c>
      <c r="K40" s="21"/>
      <c r="L40" s="192">
        <v>36.421999999999997</v>
      </c>
      <c r="M40" s="21"/>
      <c r="N40" s="192">
        <v>41.179000000000002</v>
      </c>
      <c r="O40" s="24"/>
      <c r="P40" s="191">
        <f>SUM(H40,J40,L40,N40)</f>
        <v>148.155</v>
      </c>
      <c r="Q40" s="21"/>
      <c r="R40" s="192">
        <v>35.911000000000001</v>
      </c>
      <c r="S40" s="189"/>
      <c r="T40" s="192">
        <v>32.863</v>
      </c>
      <c r="U40" s="21"/>
      <c r="V40" s="192">
        <v>32.966000000000001</v>
      </c>
      <c r="W40" s="21"/>
      <c r="X40" s="192">
        <v>37.456000000000003</v>
      </c>
      <c r="Y40" s="24"/>
      <c r="Z40" s="191">
        <f>SUM(R40,T40,V40,X40)</f>
        <v>139.19600000000003</v>
      </c>
      <c r="AA40" s="21"/>
      <c r="AB40" s="192">
        <v>30.413808</v>
      </c>
    </row>
    <row r="41" spans="1:31" s="169" customFormat="1" ht="12.75" customHeight="1" x14ac:dyDescent="0.2">
      <c r="A41" s="18" t="s">
        <v>8</v>
      </c>
      <c r="B41" s="23">
        <v>1169.556</v>
      </c>
      <c r="C41" s="21"/>
      <c r="D41" s="23">
        <v>1258.163</v>
      </c>
      <c r="E41" s="21"/>
      <c r="F41" s="23">
        <v>1296.576</v>
      </c>
      <c r="G41" s="21"/>
      <c r="H41" s="6">
        <f>SUM(H37:H40)</f>
        <v>324.92499999999995</v>
      </c>
      <c r="I41" s="21"/>
      <c r="J41" s="6">
        <f>SUM(J37:J40)</f>
        <v>328.7</v>
      </c>
      <c r="K41" s="21"/>
      <c r="L41" s="6">
        <f>SUM(L37:L40)</f>
        <v>336.63400000000001</v>
      </c>
      <c r="M41" s="21"/>
      <c r="N41" s="6">
        <f>SUM(N37:N40)</f>
        <v>367.95699999999999</v>
      </c>
      <c r="O41" s="24"/>
      <c r="P41" s="23">
        <f>SUM(P37:P40)</f>
        <v>1358.2160000000001</v>
      </c>
      <c r="Q41" s="21"/>
      <c r="R41" s="6">
        <f>SUM(R37:R40)</f>
        <v>326.846</v>
      </c>
      <c r="S41" s="22"/>
      <c r="T41" s="6">
        <f>SUM(T37:T40)</f>
        <v>315.25200000000001</v>
      </c>
      <c r="U41" s="21"/>
      <c r="V41" s="6">
        <f>SUM(V37:V40)</f>
        <v>303.899</v>
      </c>
      <c r="W41" s="21"/>
      <c r="X41" s="6">
        <f>SUM(X37:X40)</f>
        <v>313.11</v>
      </c>
      <c r="Y41" s="24"/>
      <c r="Z41" s="23">
        <f>SUM(Z37:Z40)</f>
        <v>1259.107</v>
      </c>
      <c r="AA41" s="21"/>
      <c r="AB41" s="6">
        <f>SUM(AB37:AB40)</f>
        <v>291.50152700000001</v>
      </c>
    </row>
    <row r="42" spans="1:31" s="169" customFormat="1" ht="12.75" customHeight="1" x14ac:dyDescent="0.2">
      <c r="A42" s="7"/>
      <c r="B42" s="20"/>
      <c r="C42" s="21"/>
      <c r="D42" s="20"/>
      <c r="E42" s="21"/>
      <c r="F42" s="20"/>
      <c r="G42" s="21"/>
      <c r="H42" s="19"/>
      <c r="I42" s="21"/>
      <c r="J42" s="19"/>
      <c r="K42" s="21"/>
      <c r="L42" s="19"/>
      <c r="M42" s="21"/>
      <c r="N42" s="19"/>
      <c r="O42" s="21"/>
      <c r="P42" s="20"/>
      <c r="Q42" s="21"/>
      <c r="R42" s="19"/>
      <c r="S42" s="21"/>
      <c r="T42" s="19"/>
      <c r="U42" s="21"/>
      <c r="V42" s="19"/>
      <c r="W42" s="21"/>
      <c r="X42" s="19"/>
      <c r="Y42" s="21"/>
      <c r="Z42" s="20"/>
      <c r="AA42" s="21"/>
      <c r="AB42" s="19"/>
    </row>
    <row r="43" spans="1:31" s="169" customFormat="1" ht="12.75" customHeight="1" x14ac:dyDescent="0.2">
      <c r="A43" s="5" t="s">
        <v>176</v>
      </c>
      <c r="B43" s="166"/>
      <c r="C43" s="24"/>
      <c r="D43" s="166"/>
      <c r="E43" s="24"/>
      <c r="F43" s="166"/>
      <c r="G43" s="24"/>
      <c r="H43" s="167"/>
      <c r="I43" s="24"/>
      <c r="J43" s="167"/>
      <c r="K43" s="24"/>
      <c r="L43" s="168"/>
      <c r="M43" s="24"/>
      <c r="N43" s="168"/>
      <c r="O43" s="24"/>
      <c r="P43" s="166"/>
      <c r="Q43" s="24"/>
      <c r="R43" s="167"/>
      <c r="S43" s="167"/>
      <c r="T43" s="168"/>
      <c r="U43" s="24"/>
      <c r="V43" s="168"/>
      <c r="W43" s="24"/>
      <c r="X43" s="168"/>
      <c r="Y43" s="24"/>
      <c r="Z43" s="166"/>
      <c r="AA43" s="24"/>
      <c r="AB43" s="167"/>
    </row>
    <row r="44" spans="1:31" s="169" customFormat="1" ht="12.75" customHeight="1" x14ac:dyDescent="0.2">
      <c r="A44" s="15" t="s">
        <v>168</v>
      </c>
      <c r="B44" s="170">
        <v>0.36819186084291816</v>
      </c>
      <c r="C44" s="171"/>
      <c r="D44" s="170">
        <v>0.38255059161650756</v>
      </c>
      <c r="E44" s="171"/>
      <c r="F44" s="170">
        <v>0.40504451725159185</v>
      </c>
      <c r="G44" s="171"/>
      <c r="H44" s="172">
        <f>H37/H$41</f>
        <v>0.42741555743633147</v>
      </c>
      <c r="I44" s="171"/>
      <c r="J44" s="172">
        <f>J37/J$41</f>
        <v>0.40881046547003347</v>
      </c>
      <c r="K44" s="171"/>
      <c r="L44" s="172">
        <f>L37/L$41</f>
        <v>0.3873019362274755</v>
      </c>
      <c r="M44" s="171"/>
      <c r="N44" s="172">
        <f>N37/N$41</f>
        <v>0.42445992330625587</v>
      </c>
      <c r="O44" s="171"/>
      <c r="P44" s="170">
        <f>P37/P$41</f>
        <v>0.41217008193100357</v>
      </c>
      <c r="Q44" s="171"/>
      <c r="R44" s="172">
        <f>R37/R$41</f>
        <v>0.41989499642033257</v>
      </c>
      <c r="S44" s="171"/>
      <c r="T44" s="172">
        <f>T37/T$41</f>
        <v>0.42120906449443618</v>
      </c>
      <c r="U44" s="171"/>
      <c r="V44" s="172">
        <f>V37/V$41</f>
        <v>0.44447661887666623</v>
      </c>
      <c r="W44" s="171"/>
      <c r="X44" s="172">
        <f>X37/X$41</f>
        <v>0.41022963175880678</v>
      </c>
      <c r="Y44" s="171"/>
      <c r="Z44" s="170">
        <f>Z37/Z$41</f>
        <v>0.42375350148954782</v>
      </c>
      <c r="AA44" s="171"/>
      <c r="AB44" s="172">
        <f>AB37/AB$41</f>
        <v>0.43532877273744092</v>
      </c>
    </row>
    <row r="45" spans="1:31" s="169" customFormat="1" ht="12.75" customHeight="1" x14ac:dyDescent="0.2">
      <c r="A45" s="16" t="s">
        <v>169</v>
      </c>
      <c r="B45" s="170">
        <v>0.39967902349267587</v>
      </c>
      <c r="C45" s="171"/>
      <c r="D45" s="170">
        <v>0.38232645531620307</v>
      </c>
      <c r="E45" s="171"/>
      <c r="F45" s="170">
        <v>0.37041253270151542</v>
      </c>
      <c r="G45" s="171"/>
      <c r="H45" s="172">
        <f t="shared" ref="H45:H47" si="11">H38/H$41</f>
        <v>0.39099484496422254</v>
      </c>
      <c r="I45" s="171"/>
      <c r="J45" s="172">
        <f t="shared" ref="J45:J47" si="12">J38/J$41</f>
        <v>0.3894675996349255</v>
      </c>
      <c r="K45" s="171"/>
      <c r="L45" s="172">
        <f t="shared" ref="L45:L47" si="13">L38/L$41</f>
        <v>0.38813370010159398</v>
      </c>
      <c r="M45" s="171"/>
      <c r="N45" s="172">
        <f t="shared" ref="N45:N47" si="14">N38/N$41</f>
        <v>0.38715665145655603</v>
      </c>
      <c r="O45" s="171"/>
      <c r="P45" s="170">
        <f t="shared" ref="P45:P47" si="15">P38/P$41</f>
        <v>0.38887629066363522</v>
      </c>
      <c r="Q45" s="171"/>
      <c r="R45" s="172">
        <f t="shared" ref="R45:R47" si="16">R38/R$41</f>
        <v>0.39305972843479803</v>
      </c>
      <c r="S45" s="171"/>
      <c r="T45" s="172">
        <f t="shared" ref="T45:T47" si="17">T38/T$41</f>
        <v>0.35046883128417899</v>
      </c>
      <c r="U45" s="171"/>
      <c r="V45" s="172">
        <f t="shared" ref="V45:V47" si="18">V38/V$41</f>
        <v>0.3606658791243143</v>
      </c>
      <c r="W45" s="171"/>
      <c r="X45" s="172">
        <f t="shared" ref="X45:X47" si="19">X38/X$41</f>
        <v>0.38246303216122129</v>
      </c>
      <c r="Y45" s="171"/>
      <c r="Z45" s="170">
        <f t="shared" ref="Z45:Z47" si="20">Z38/Z$41</f>
        <v>0.37194217806747165</v>
      </c>
      <c r="AA45" s="171"/>
      <c r="AB45" s="172">
        <f t="shared" ref="AB45:AB47" si="21">AB38/AB$41</f>
        <v>0.3696308904755754</v>
      </c>
    </row>
    <row r="46" spans="1:31" s="169" customFormat="1" ht="12.75" customHeight="1" x14ac:dyDescent="0.2">
      <c r="A46" s="16" t="s">
        <v>170</v>
      </c>
      <c r="B46" s="170">
        <v>0.10554689129892027</v>
      </c>
      <c r="C46" s="171"/>
      <c r="D46" s="170">
        <v>0.10725001450527477</v>
      </c>
      <c r="E46" s="171"/>
      <c r="F46" s="170">
        <v>9.9917783454267231E-2</v>
      </c>
      <c r="G46" s="171"/>
      <c r="H46" s="172">
        <f t="shared" si="11"/>
        <v>7.7282449796106809E-2</v>
      </c>
      <c r="I46" s="171"/>
      <c r="J46" s="172">
        <f t="shared" si="12"/>
        <v>9.0185579555825984E-2</v>
      </c>
      <c r="K46" s="171"/>
      <c r="L46" s="172">
        <f t="shared" si="13"/>
        <v>0.1163697071597046</v>
      </c>
      <c r="M46" s="171"/>
      <c r="N46" s="172">
        <f t="shared" si="14"/>
        <v>7.6470891979225838E-2</v>
      </c>
      <c r="O46" s="171"/>
      <c r="P46" s="170">
        <f t="shared" si="15"/>
        <v>8.9873039339839908E-2</v>
      </c>
      <c r="Q46" s="171"/>
      <c r="R46" s="172">
        <f t="shared" si="16"/>
        <v>7.7173959601769634E-2</v>
      </c>
      <c r="S46" s="171"/>
      <c r="T46" s="172">
        <f t="shared" si="17"/>
        <v>0.12407851496580513</v>
      </c>
      <c r="U46" s="171"/>
      <c r="V46" s="172">
        <f t="shared" si="18"/>
        <v>8.6380672526069527E-2</v>
      </c>
      <c r="W46" s="171"/>
      <c r="X46" s="172">
        <f t="shared" si="19"/>
        <v>8.7681645428124302E-2</v>
      </c>
      <c r="Y46" s="171"/>
      <c r="Z46" s="170">
        <f t="shared" si="20"/>
        <v>9.3752953482110754E-2</v>
      </c>
      <c r="AA46" s="171"/>
      <c r="AB46" s="172">
        <f t="shared" si="21"/>
        <v>9.0705349889985298E-2</v>
      </c>
    </row>
    <row r="47" spans="1:31" s="169" customFormat="1" ht="12.75" customHeight="1" x14ac:dyDescent="0.2">
      <c r="A47" s="15" t="s">
        <v>171</v>
      </c>
      <c r="B47" s="173">
        <v>0.12658222436548569</v>
      </c>
      <c r="C47" s="172"/>
      <c r="D47" s="173">
        <v>0.12787293856201462</v>
      </c>
      <c r="E47" s="172"/>
      <c r="F47" s="173">
        <v>0.12462516659262551</v>
      </c>
      <c r="G47" s="172"/>
      <c r="H47" s="174">
        <f t="shared" si="11"/>
        <v>0.10430714780333926</v>
      </c>
      <c r="I47" s="172"/>
      <c r="J47" s="174">
        <f t="shared" si="12"/>
        <v>0.11153635533921509</v>
      </c>
      <c r="K47" s="172"/>
      <c r="L47" s="174">
        <f t="shared" si="13"/>
        <v>0.10819465651122583</v>
      </c>
      <c r="M47" s="172"/>
      <c r="N47" s="174">
        <f t="shared" si="14"/>
        <v>0.11191253325796222</v>
      </c>
      <c r="O47" s="171"/>
      <c r="P47" s="173">
        <f t="shared" si="15"/>
        <v>0.10908058806552123</v>
      </c>
      <c r="Q47" s="172"/>
      <c r="R47" s="174">
        <f t="shared" si="16"/>
        <v>0.10987131554309981</v>
      </c>
      <c r="S47" s="172"/>
      <c r="T47" s="174">
        <f t="shared" si="17"/>
        <v>0.10424358925557965</v>
      </c>
      <c r="U47" s="172"/>
      <c r="V47" s="174">
        <f t="shared" si="18"/>
        <v>0.1084768294729499</v>
      </c>
      <c r="W47" s="172"/>
      <c r="X47" s="174">
        <f t="shared" si="19"/>
        <v>0.1196256906518476</v>
      </c>
      <c r="Y47" s="171"/>
      <c r="Z47" s="173">
        <f t="shared" si="20"/>
        <v>0.11055136696086991</v>
      </c>
      <c r="AA47" s="172"/>
      <c r="AB47" s="174">
        <f t="shared" si="21"/>
        <v>0.10433498689699831</v>
      </c>
      <c r="AC47" s="175"/>
      <c r="AD47" s="175"/>
      <c r="AE47" s="175"/>
    </row>
    <row r="48" spans="1:31" s="169" customFormat="1" ht="12.75" customHeight="1" x14ac:dyDescent="0.2">
      <c r="A48" s="18" t="s">
        <v>8</v>
      </c>
      <c r="B48" s="170">
        <v>1</v>
      </c>
      <c r="C48" s="172"/>
      <c r="D48" s="170">
        <v>1</v>
      </c>
      <c r="E48" s="172"/>
      <c r="F48" s="170">
        <v>1</v>
      </c>
      <c r="G48" s="172"/>
      <c r="H48" s="172">
        <f>SUM(H44:H47)</f>
        <v>1</v>
      </c>
      <c r="I48" s="172"/>
      <c r="J48" s="172">
        <f>SUM(J44:J47)</f>
        <v>1</v>
      </c>
      <c r="K48" s="172"/>
      <c r="L48" s="172">
        <f>SUM(L44:L47)</f>
        <v>1</v>
      </c>
      <c r="M48" s="172"/>
      <c r="N48" s="172">
        <f>SUM(N44:N47)</f>
        <v>1</v>
      </c>
      <c r="O48" s="171"/>
      <c r="P48" s="170">
        <f>SUM(P44:P47)</f>
        <v>1</v>
      </c>
      <c r="Q48" s="172"/>
      <c r="R48" s="172">
        <f>SUM(R44:R47)</f>
        <v>1</v>
      </c>
      <c r="S48" s="172"/>
      <c r="T48" s="172">
        <f>SUM(T44:T47)</f>
        <v>1</v>
      </c>
      <c r="U48" s="172"/>
      <c r="V48" s="172">
        <f>SUM(V44:V47)</f>
        <v>0.99999999999999989</v>
      </c>
      <c r="W48" s="172"/>
      <c r="X48" s="172">
        <f>SUM(X44:X47)</f>
        <v>0.99999999999999989</v>
      </c>
      <c r="Y48" s="171"/>
      <c r="Z48" s="170">
        <f>SUM(Z44:Z47)</f>
        <v>1.0000000000000002</v>
      </c>
      <c r="AA48" s="172"/>
      <c r="AB48" s="172">
        <f>SUM(AB44:AB47)</f>
        <v>0.99999999999999978</v>
      </c>
      <c r="AC48" s="175"/>
      <c r="AD48" s="175"/>
      <c r="AE48" s="175"/>
    </row>
    <row r="49" spans="1:31" s="169" customFormat="1" ht="12.75" customHeight="1" x14ac:dyDescent="0.2">
      <c r="A49" s="7"/>
      <c r="B49" s="193"/>
      <c r="C49" s="21"/>
      <c r="D49" s="193"/>
      <c r="E49" s="21"/>
      <c r="F49" s="193"/>
      <c r="G49" s="21"/>
      <c r="H49" s="194"/>
      <c r="I49" s="21"/>
      <c r="J49" s="194"/>
      <c r="K49" s="21"/>
      <c r="L49" s="194"/>
      <c r="M49" s="21"/>
      <c r="N49" s="194"/>
      <c r="O49" s="24"/>
      <c r="P49" s="193"/>
      <c r="Q49" s="21"/>
      <c r="R49" s="194"/>
      <c r="S49" s="195"/>
      <c r="T49" s="194"/>
      <c r="U49" s="21"/>
      <c r="V49" s="194"/>
      <c r="W49" s="21"/>
      <c r="X49" s="194"/>
      <c r="Y49" s="24"/>
      <c r="Z49" s="193"/>
      <c r="AA49" s="21"/>
      <c r="AB49" s="194"/>
    </row>
    <row r="50" spans="1:31" s="169" customFormat="1" ht="12.75" customHeight="1" x14ac:dyDescent="0.2">
      <c r="A50" s="5" t="s">
        <v>177</v>
      </c>
      <c r="B50" s="166"/>
      <c r="C50" s="24"/>
      <c r="D50" s="166"/>
      <c r="E50" s="24"/>
      <c r="F50" s="166"/>
      <c r="G50" s="24"/>
      <c r="H50" s="167"/>
      <c r="I50" s="24"/>
      <c r="J50" s="167"/>
      <c r="K50" s="24"/>
      <c r="L50" s="168"/>
      <c r="M50" s="24"/>
      <c r="N50" s="168"/>
      <c r="O50" s="24"/>
      <c r="P50" s="166"/>
      <c r="Q50" s="24"/>
      <c r="R50" s="167"/>
      <c r="S50" s="167"/>
      <c r="T50" s="168"/>
      <c r="U50" s="24"/>
      <c r="V50" s="168"/>
      <c r="W50" s="24"/>
      <c r="X50" s="168"/>
      <c r="Y50" s="24"/>
      <c r="Z50" s="166"/>
      <c r="AA50" s="24"/>
      <c r="AB50" s="167"/>
    </row>
    <row r="51" spans="1:31" s="169" customFormat="1" ht="12.75" customHeight="1" x14ac:dyDescent="0.2">
      <c r="A51" s="15" t="s">
        <v>168</v>
      </c>
      <c r="B51" s="170">
        <v>0.11602635207281553</v>
      </c>
      <c r="C51" s="171"/>
      <c r="D51" s="170">
        <v>0.11771372041772254</v>
      </c>
      <c r="E51" s="171"/>
      <c r="F51" s="170">
        <v>9.1126111807126486E-2</v>
      </c>
      <c r="G51" s="171"/>
      <c r="H51" s="172">
        <v>3.7401677734535399E-2</v>
      </c>
      <c r="I51" s="171"/>
      <c r="J51" s="172">
        <v>0.13253154208561257</v>
      </c>
      <c r="K51" s="171"/>
      <c r="L51" s="172">
        <v>3.3707605759536463E-3</v>
      </c>
      <c r="M51" s="171"/>
      <c r="N51" s="172">
        <v>9.4423578215657056E-2</v>
      </c>
      <c r="O51" s="171"/>
      <c r="P51" s="170">
        <f>P37/F37-1</f>
        <v>6.5968989148296631E-2</v>
      </c>
      <c r="Q51" s="171"/>
      <c r="R51" s="172">
        <f>R37/H37-1</f>
        <v>-1.1787324126211307E-2</v>
      </c>
      <c r="S51" s="171"/>
      <c r="T51" s="172">
        <f>T37/J37-1</f>
        <v>-1.182502827885934E-2</v>
      </c>
      <c r="U51" s="171"/>
      <c r="V51" s="172">
        <f>V37/L37-1</f>
        <v>3.6025740341619539E-2</v>
      </c>
      <c r="W51" s="171"/>
      <c r="X51" s="172">
        <f>X37/N37-1</f>
        <v>-0.17758654911225924</v>
      </c>
      <c r="Y51" s="171"/>
      <c r="Z51" s="170">
        <f>Z37/P37-1</f>
        <v>-4.6917201366163175E-2</v>
      </c>
      <c r="AA51" s="171"/>
      <c r="AB51" s="172">
        <f>AB37/R37-1</f>
        <v>-7.5356475105835874E-2</v>
      </c>
    </row>
    <row r="52" spans="1:31" s="169" customFormat="1" ht="12.75" customHeight="1" x14ac:dyDescent="0.2">
      <c r="A52" s="16" t="s">
        <v>169</v>
      </c>
      <c r="B52" s="170">
        <v>0.20316642386117367</v>
      </c>
      <c r="C52" s="171"/>
      <c r="D52" s="170">
        <v>2.9055700432348397E-2</v>
      </c>
      <c r="E52" s="171"/>
      <c r="F52" s="170">
        <v>-1.5820252001438329E-3</v>
      </c>
      <c r="G52" s="171"/>
      <c r="H52" s="172">
        <v>5.9971966359631645E-2</v>
      </c>
      <c r="I52" s="171"/>
      <c r="J52" s="172">
        <v>7.6414697721348679E-2</v>
      </c>
      <c r="K52" s="171"/>
      <c r="L52" s="172">
        <v>0.13139368749188196</v>
      </c>
      <c r="M52" s="171"/>
      <c r="N52" s="172">
        <v>0.13063803106423166</v>
      </c>
      <c r="O52" s="171"/>
      <c r="P52" s="170">
        <f>P38/F38-1</f>
        <v>9.9756802451964166E-2</v>
      </c>
      <c r="Q52" s="171"/>
      <c r="R52" s="172">
        <f>R38/H38-1</f>
        <v>1.1224457668209453E-2</v>
      </c>
      <c r="S52" s="171"/>
      <c r="T52" s="172">
        <f>T38/J38-1</f>
        <v>-0.13694949147776092</v>
      </c>
      <c r="U52" s="171"/>
      <c r="V52" s="172">
        <f>V38/L38-1</f>
        <v>-0.1611293519772844</v>
      </c>
      <c r="W52" s="171"/>
      <c r="X52" s="172">
        <f>X38/N38-1</f>
        <v>-0.15937440771601252</v>
      </c>
      <c r="Y52" s="171"/>
      <c r="Z52" s="170">
        <f>Z38/P38-1</f>
        <v>-0.11333868506450473</v>
      </c>
      <c r="AA52" s="171"/>
      <c r="AB52" s="172">
        <f>AB38/R38-1</f>
        <v>-0.16129859889468356</v>
      </c>
    </row>
    <row r="53" spans="1:31" s="169" customFormat="1" ht="12.75" customHeight="1" x14ac:dyDescent="0.2">
      <c r="A53" s="16" t="s">
        <v>170</v>
      </c>
      <c r="B53" s="170">
        <v>0.18638154733301304</v>
      </c>
      <c r="C53" s="171"/>
      <c r="D53" s="170">
        <v>9.311990149299687E-2</v>
      </c>
      <c r="E53" s="171"/>
      <c r="F53" s="170">
        <v>-3.992203826942764E-2</v>
      </c>
      <c r="G53" s="171"/>
      <c r="H53" s="172">
        <v>-0.13275772750820236</v>
      </c>
      <c r="I53" s="171"/>
      <c r="J53" s="172">
        <v>-0.2144995892842948</v>
      </c>
      <c r="K53" s="171"/>
      <c r="L53" s="172">
        <v>0.15769253501980018</v>
      </c>
      <c r="M53" s="171"/>
      <c r="N53" s="172">
        <v>-3.0359419690547451E-2</v>
      </c>
      <c r="O53" s="171"/>
      <c r="P53" s="170">
        <f>P39/F39-1</f>
        <v>-5.7768755162059593E-2</v>
      </c>
      <c r="Q53" s="171"/>
      <c r="R53" s="172">
        <f>R39/H39-1</f>
        <v>4.5000199115925454E-3</v>
      </c>
      <c r="S53" s="171"/>
      <c r="T53" s="172">
        <f>T39/J39-1</f>
        <v>0.31952503036027524</v>
      </c>
      <c r="U53" s="171"/>
      <c r="V53" s="172">
        <f>V39/L39-1</f>
        <v>-0.32988717006177559</v>
      </c>
      <c r="W53" s="171"/>
      <c r="X53" s="172">
        <f>X39/N39-1</f>
        <v>-2.430876394910797E-2</v>
      </c>
      <c r="Y53" s="171"/>
      <c r="Z53" s="170">
        <f>Z39/P39-1</f>
        <v>-3.294911810726886E-2</v>
      </c>
      <c r="AA53" s="171"/>
      <c r="AB53" s="172">
        <f>AB39/R39-1</f>
        <v>4.8237710117348565E-2</v>
      </c>
    </row>
    <row r="54" spans="1:31" s="169" customFormat="1" ht="12.75" customHeight="1" x14ac:dyDescent="0.2">
      <c r="A54" s="15" t="s">
        <v>171</v>
      </c>
      <c r="B54" s="173">
        <v>0.12468852558648336</v>
      </c>
      <c r="C54" s="172"/>
      <c r="D54" s="173">
        <v>8.6730386031274254E-2</v>
      </c>
      <c r="E54" s="172"/>
      <c r="F54" s="173">
        <v>4.3571495167356034E-3</v>
      </c>
      <c r="G54" s="172"/>
      <c r="H54" s="174">
        <v>-0.12249177950961854</v>
      </c>
      <c r="I54" s="172"/>
      <c r="J54" s="174">
        <v>-6.6839747505599623E-2</v>
      </c>
      <c r="K54" s="172"/>
      <c r="L54" s="174">
        <v>4.2738577770422559E-3</v>
      </c>
      <c r="M54" s="172"/>
      <c r="N54" s="174">
        <v>-0.13139132635842055</v>
      </c>
      <c r="O54" s="171"/>
      <c r="P54" s="173">
        <f>P40/F40-1</f>
        <v>-8.3119824737291625E-2</v>
      </c>
      <c r="Q54" s="172"/>
      <c r="R54" s="174">
        <f>R40/H40-1</f>
        <v>5.9571580313938277E-2</v>
      </c>
      <c r="S54" s="172"/>
      <c r="T54" s="174">
        <f>T40/J40-1</f>
        <v>-0.10362227919917077</v>
      </c>
      <c r="U54" s="172"/>
      <c r="V54" s="174">
        <f>V40/L40-1</f>
        <v>-9.488770523310075E-2</v>
      </c>
      <c r="W54" s="172"/>
      <c r="X54" s="174">
        <f>X40/N40-1</f>
        <v>-9.041016051871098E-2</v>
      </c>
      <c r="Y54" s="171"/>
      <c r="Z54" s="173">
        <f>Z40/P40-1</f>
        <v>-6.0470453241537436E-2</v>
      </c>
      <c r="AA54" s="172"/>
      <c r="AB54" s="174">
        <f>AB40/R40-1</f>
        <v>-0.15307822115786252</v>
      </c>
      <c r="AC54" s="175"/>
      <c r="AD54" s="175"/>
      <c r="AE54" s="175"/>
    </row>
    <row r="55" spans="1:31" s="169" customFormat="1" ht="12.75" customHeight="1" x14ac:dyDescent="0.2">
      <c r="A55" s="18" t="s">
        <v>8</v>
      </c>
      <c r="B55" s="170">
        <v>0.1579212077049803</v>
      </c>
      <c r="C55" s="172"/>
      <c r="D55" s="170">
        <v>7.5761229047604406E-2</v>
      </c>
      <c r="E55" s="172"/>
      <c r="F55" s="170">
        <v>3.0531020225519345E-2</v>
      </c>
      <c r="G55" s="172"/>
      <c r="H55" s="172">
        <v>1.1266553586156247E-2</v>
      </c>
      <c r="I55" s="172"/>
      <c r="J55" s="172">
        <v>4.4792249402430873E-2</v>
      </c>
      <c r="K55" s="172"/>
      <c r="L55" s="172">
        <v>6.6880908690429841E-2</v>
      </c>
      <c r="M55" s="172"/>
      <c r="N55" s="172">
        <v>6.6134116801687348E-2</v>
      </c>
      <c r="O55" s="171"/>
      <c r="P55" s="170">
        <f>P41/F41-1</f>
        <v>4.7540599239844106E-2</v>
      </c>
      <c r="Q55" s="172"/>
      <c r="R55" s="172">
        <f>R41/H41-1</f>
        <v>5.9121335692853272E-3</v>
      </c>
      <c r="S55" s="172"/>
      <c r="T55" s="172">
        <f>T41/J41-1</f>
        <v>-4.091268634012768E-2</v>
      </c>
      <c r="U55" s="172"/>
      <c r="V55" s="172">
        <f>V41/L41-1</f>
        <v>-9.7242108640244296E-2</v>
      </c>
      <c r="W55" s="172"/>
      <c r="X55" s="172">
        <f>X41/N41-1</f>
        <v>-0.1490581779936242</v>
      </c>
      <c r="Y55" s="171"/>
      <c r="Z55" s="170">
        <f>Z41/P41-1</f>
        <v>-7.2969984155686674E-2</v>
      </c>
      <c r="AA55" s="172"/>
      <c r="AB55" s="172">
        <f>AB41/R41-1</f>
        <v>-0.10813800077100533</v>
      </c>
      <c r="AC55" s="175"/>
      <c r="AD55" s="175"/>
      <c r="AE55" s="175"/>
    </row>
    <row r="56" spans="1:31" s="169" customFormat="1" ht="12.75" customHeight="1" x14ac:dyDescent="0.2">
      <c r="A56" s="7"/>
      <c r="B56" s="193"/>
      <c r="C56" s="21"/>
      <c r="D56" s="193"/>
      <c r="E56" s="21"/>
      <c r="F56" s="193"/>
      <c r="G56" s="21"/>
      <c r="H56" s="194"/>
      <c r="I56" s="21"/>
      <c r="J56" s="194"/>
      <c r="K56" s="21"/>
      <c r="L56" s="194"/>
      <c r="M56" s="21"/>
      <c r="N56" s="194"/>
      <c r="O56" s="24"/>
      <c r="P56" s="193"/>
      <c r="Q56" s="21"/>
      <c r="R56" s="194"/>
      <c r="S56" s="195"/>
      <c r="T56" s="194"/>
      <c r="U56" s="21"/>
      <c r="V56" s="194"/>
      <c r="W56" s="21"/>
      <c r="X56" s="172"/>
      <c r="Y56" s="24"/>
      <c r="Z56" s="170"/>
      <c r="AA56" s="21"/>
      <c r="AB56" s="194"/>
    </row>
    <row r="57" spans="1:31" s="169" customFormat="1" ht="12.75" customHeight="1" x14ac:dyDescent="0.2">
      <c r="A57" s="5" t="s">
        <v>178</v>
      </c>
      <c r="B57" s="166"/>
      <c r="C57" s="24"/>
      <c r="D57" s="166"/>
      <c r="E57" s="24"/>
      <c r="F57" s="166"/>
      <c r="G57" s="24"/>
      <c r="H57" s="167"/>
      <c r="I57" s="24"/>
      <c r="J57" s="167"/>
      <c r="K57" s="24"/>
      <c r="L57" s="168"/>
      <c r="M57" s="24"/>
      <c r="N57" s="168"/>
      <c r="O57" s="24"/>
      <c r="P57" s="166"/>
      <c r="Q57" s="24"/>
      <c r="R57" s="167"/>
      <c r="S57" s="167"/>
      <c r="T57" s="168"/>
      <c r="U57" s="24"/>
      <c r="V57" s="168"/>
      <c r="W57" s="24"/>
      <c r="X57" s="196"/>
      <c r="Y57" s="24"/>
      <c r="Z57" s="197"/>
      <c r="AA57" s="24"/>
      <c r="AB57" s="167"/>
    </row>
    <row r="58" spans="1:31" s="169" customFormat="1" ht="12.75" customHeight="1" x14ac:dyDescent="0.2">
      <c r="A58" s="15" t="s">
        <v>168</v>
      </c>
      <c r="B58" s="170">
        <v>0.115</v>
      </c>
      <c r="C58" s="171"/>
      <c r="D58" s="170">
        <v>0.11799999999999999</v>
      </c>
      <c r="E58" s="171"/>
      <c r="F58" s="170">
        <v>9.1999999999999998E-2</v>
      </c>
      <c r="G58" s="171"/>
      <c r="H58" s="172">
        <v>0.04</v>
      </c>
      <c r="I58" s="171"/>
      <c r="J58" s="172">
        <v>0.13700000000000001</v>
      </c>
      <c r="K58" s="171"/>
      <c r="L58" s="172">
        <v>8.0000000000000002E-3</v>
      </c>
      <c r="M58" s="171"/>
      <c r="N58" s="172">
        <v>9.5000000000000001E-2</v>
      </c>
      <c r="O58" s="171"/>
      <c r="P58" s="170">
        <v>7.0999999999999994E-2</v>
      </c>
      <c r="Q58" s="171"/>
      <c r="R58" s="172">
        <v>-8.0000000000000002E-3</v>
      </c>
      <c r="S58" s="171"/>
      <c r="T58" s="172">
        <v>-6.0000000000000001E-3</v>
      </c>
      <c r="U58" s="171"/>
      <c r="V58" s="172">
        <v>4.4935638875780989E-2</v>
      </c>
      <c r="W58" s="171"/>
      <c r="X58" s="172">
        <v>-0.16941000000000001</v>
      </c>
      <c r="Y58" s="171"/>
      <c r="Z58" s="170">
        <v>-4.0250000000000001E-2</v>
      </c>
      <c r="AA58" s="171"/>
      <c r="AB58" s="172">
        <v>-6.4724364991374794E-2</v>
      </c>
    </row>
    <row r="59" spans="1:31" s="169" customFormat="1" ht="12.75" customHeight="1" x14ac:dyDescent="0.2">
      <c r="A59" s="16" t="s">
        <v>169</v>
      </c>
      <c r="B59" s="170">
        <v>0.14899999999999999</v>
      </c>
      <c r="C59" s="171"/>
      <c r="D59" s="170">
        <v>8.6999999999999994E-2</v>
      </c>
      <c r="E59" s="171"/>
      <c r="F59" s="170">
        <v>-8.0000000000000002E-3</v>
      </c>
      <c r="G59" s="171"/>
      <c r="H59" s="172">
        <v>2.1000000000000001E-2</v>
      </c>
      <c r="I59" s="171"/>
      <c r="J59" s="172">
        <v>5.7000000000000002E-2</v>
      </c>
      <c r="K59" s="171"/>
      <c r="L59" s="172">
        <v>7.3999999999999996E-2</v>
      </c>
      <c r="M59" s="171"/>
      <c r="N59" s="172">
        <v>0.114</v>
      </c>
      <c r="O59" s="171"/>
      <c r="P59" s="170">
        <v>6.8000000000000005E-2</v>
      </c>
      <c r="Q59" s="171"/>
      <c r="R59" s="172">
        <v>0.08</v>
      </c>
      <c r="S59" s="171"/>
      <c r="T59" s="172">
        <v>4.0000000000000001E-3</v>
      </c>
      <c r="U59" s="171"/>
      <c r="V59" s="172">
        <v>2.4909381428973271E-2</v>
      </c>
      <c r="W59" s="171"/>
      <c r="X59" s="172">
        <v>-1.4400000000000001E-3</v>
      </c>
      <c r="Y59" s="171"/>
      <c r="Z59" s="170">
        <v>2.596E-2</v>
      </c>
      <c r="AA59" s="171"/>
      <c r="AB59" s="172">
        <v>-4.5999999999999999E-2</v>
      </c>
    </row>
    <row r="60" spans="1:31" s="169" customFormat="1" ht="12.75" customHeight="1" x14ac:dyDescent="0.2">
      <c r="A60" s="16" t="s">
        <v>170</v>
      </c>
      <c r="B60" s="170">
        <v>7.3999999999999996E-2</v>
      </c>
      <c r="C60" s="171"/>
      <c r="D60" s="170">
        <v>5.6000000000000001E-2</v>
      </c>
      <c r="E60" s="171"/>
      <c r="F60" s="170">
        <v>0.12</v>
      </c>
      <c r="G60" s="171"/>
      <c r="H60" s="172">
        <v>7.4999999999999997E-2</v>
      </c>
      <c r="I60" s="171"/>
      <c r="J60" s="172">
        <v>-9.9000000000000005E-2</v>
      </c>
      <c r="K60" s="171"/>
      <c r="L60" s="172">
        <v>0.19600000000000001</v>
      </c>
      <c r="M60" s="171"/>
      <c r="N60" s="172">
        <v>8.0000000000000002E-3</v>
      </c>
      <c r="O60" s="171"/>
      <c r="P60" s="170">
        <v>4.2999999999999997E-2</v>
      </c>
      <c r="Q60" s="171"/>
      <c r="R60" s="172">
        <v>0.122</v>
      </c>
      <c r="S60" s="171"/>
      <c r="T60" s="172">
        <v>0.52200000000000002</v>
      </c>
      <c r="U60" s="171"/>
      <c r="V60" s="172">
        <v>-0.21251222588131607</v>
      </c>
      <c r="W60" s="171"/>
      <c r="X60" s="172">
        <v>0.17584</v>
      </c>
      <c r="Y60" s="171"/>
      <c r="Z60" s="170">
        <v>0.12416000000000001</v>
      </c>
      <c r="AA60" s="171"/>
      <c r="AB60" s="172">
        <v>0.15141643713697461</v>
      </c>
    </row>
    <row r="61" spans="1:31" s="169" customFormat="1" ht="12.75" customHeight="1" x14ac:dyDescent="0.2">
      <c r="A61" s="15" t="s">
        <v>171</v>
      </c>
      <c r="B61" s="173">
        <v>9.2999999999999999E-2</v>
      </c>
      <c r="C61" s="172"/>
      <c r="D61" s="173">
        <v>0.104</v>
      </c>
      <c r="E61" s="172"/>
      <c r="F61" s="173">
        <v>-1E-3</v>
      </c>
      <c r="G61" s="172"/>
      <c r="H61" s="174">
        <v>-0.122</v>
      </c>
      <c r="I61" s="172"/>
      <c r="J61" s="174">
        <v>-6.3E-2</v>
      </c>
      <c r="K61" s="172"/>
      <c r="L61" s="174">
        <v>3.0000000000000001E-3</v>
      </c>
      <c r="M61" s="172"/>
      <c r="N61" s="174">
        <v>-0.14699999999999999</v>
      </c>
      <c r="O61" s="171"/>
      <c r="P61" s="173">
        <v>-8.6999999999999994E-2</v>
      </c>
      <c r="Q61" s="172"/>
      <c r="R61" s="174">
        <v>6.6000000000000003E-2</v>
      </c>
      <c r="S61" s="172"/>
      <c r="T61" s="174">
        <v>-8.4000000000000005E-2</v>
      </c>
      <c r="U61" s="172"/>
      <c r="V61" s="174">
        <v>-7.6707022854559853E-2</v>
      </c>
      <c r="W61" s="172"/>
      <c r="X61" s="174">
        <v>-5.1110000000000003E-2</v>
      </c>
      <c r="Y61" s="171"/>
      <c r="Z61" s="173">
        <v>-3.8789999999999998E-2</v>
      </c>
      <c r="AA61" s="172"/>
      <c r="AB61" s="174">
        <v>-0.10856913902963461</v>
      </c>
      <c r="AC61" s="175"/>
      <c r="AD61" s="175"/>
      <c r="AE61" s="175"/>
    </row>
    <row r="62" spans="1:31" s="169" customFormat="1" ht="12.75" customHeight="1" x14ac:dyDescent="0.2">
      <c r="A62" s="18" t="s">
        <v>8</v>
      </c>
      <c r="B62" s="170">
        <v>0.121</v>
      </c>
      <c r="C62" s="172"/>
      <c r="D62" s="170">
        <v>9.7000000000000003E-2</v>
      </c>
      <c r="E62" s="172"/>
      <c r="F62" s="170">
        <v>4.4999999999999998E-2</v>
      </c>
      <c r="G62" s="172"/>
      <c r="H62" s="172">
        <v>1.7000000000000001E-2</v>
      </c>
      <c r="I62" s="172"/>
      <c r="J62" s="172">
        <v>5.2999999999999999E-2</v>
      </c>
      <c r="K62" s="172"/>
      <c r="L62" s="172">
        <v>5.1999999999999998E-2</v>
      </c>
      <c r="M62" s="172"/>
      <c r="N62" s="172">
        <v>6.0999999999999999E-2</v>
      </c>
      <c r="O62" s="171"/>
      <c r="P62" s="170">
        <v>4.7E-2</v>
      </c>
      <c r="Q62" s="172"/>
      <c r="R62" s="172">
        <v>4.3999999999999997E-2</v>
      </c>
      <c r="S62" s="172"/>
      <c r="T62" s="172">
        <v>3.6999999999999998E-2</v>
      </c>
      <c r="U62" s="172"/>
      <c r="V62" s="172">
        <v>-6.0000000000000001E-3</v>
      </c>
      <c r="W62" s="172"/>
      <c r="X62" s="172">
        <v>-6.4740000000000006E-2</v>
      </c>
      <c r="Y62" s="171"/>
      <c r="Z62" s="170">
        <v>4.2999999999999999E-4</v>
      </c>
      <c r="AA62" s="172"/>
      <c r="AB62" s="172">
        <v>-4.5999999999999999E-2</v>
      </c>
      <c r="AC62" s="175"/>
      <c r="AD62" s="175"/>
      <c r="AE62" s="175"/>
    </row>
    <row r="63" spans="1:31" s="169" customFormat="1" ht="12.75" customHeight="1" x14ac:dyDescent="0.2">
      <c r="A63" s="14"/>
      <c r="B63" s="166"/>
      <c r="C63" s="24"/>
      <c r="D63" s="166"/>
      <c r="E63" s="24"/>
      <c r="F63" s="166"/>
      <c r="G63" s="24"/>
      <c r="H63" s="167"/>
      <c r="I63" s="24"/>
      <c r="J63" s="167"/>
      <c r="K63" s="24"/>
      <c r="L63" s="168"/>
      <c r="M63" s="24"/>
      <c r="N63" s="168"/>
      <c r="O63" s="24"/>
      <c r="P63" s="166"/>
      <c r="Q63" s="24"/>
      <c r="R63" s="167"/>
      <c r="S63" s="167"/>
      <c r="T63" s="168"/>
      <c r="U63" s="24"/>
      <c r="V63" s="168"/>
      <c r="W63" s="24"/>
      <c r="X63" s="168"/>
      <c r="Y63" s="24"/>
      <c r="Z63" s="166"/>
      <c r="AA63" s="24"/>
      <c r="AB63" s="167"/>
    </row>
    <row r="64" spans="1:31" s="169" customFormat="1" ht="12.75" customHeight="1" x14ac:dyDescent="0.2">
      <c r="A64" s="5" t="s">
        <v>179</v>
      </c>
      <c r="B64" s="166"/>
      <c r="C64" s="24"/>
      <c r="D64" s="166"/>
      <c r="E64" s="24"/>
      <c r="F64" s="166"/>
      <c r="G64" s="24"/>
      <c r="H64" s="167"/>
      <c r="I64" s="24"/>
      <c r="J64" s="167"/>
      <c r="K64" s="24"/>
      <c r="L64" s="168"/>
      <c r="M64" s="24"/>
      <c r="N64" s="168"/>
      <c r="O64" s="24"/>
      <c r="P64" s="166"/>
      <c r="Q64" s="24"/>
      <c r="R64" s="167"/>
      <c r="S64" s="167"/>
      <c r="T64" s="168"/>
      <c r="U64" s="24"/>
      <c r="V64" s="168"/>
      <c r="W64" s="24"/>
      <c r="X64" s="168"/>
      <c r="Y64" s="24"/>
      <c r="Z64" s="166"/>
      <c r="AA64" s="24"/>
      <c r="AB64" s="167"/>
    </row>
    <row r="65" spans="1:28" s="169" customFormat="1" ht="12.75" customHeight="1" x14ac:dyDescent="0.2">
      <c r="A65" s="15" t="s">
        <v>168</v>
      </c>
      <c r="B65" s="23">
        <v>1.407999999999987</v>
      </c>
      <c r="C65" s="24"/>
      <c r="D65" s="23">
        <v>1.3799999999999955</v>
      </c>
      <c r="E65" s="24"/>
      <c r="F65" s="23">
        <v>2.3829999999999956</v>
      </c>
      <c r="G65" s="24"/>
      <c r="H65" s="6">
        <f>H37-H9</f>
        <v>0</v>
      </c>
      <c r="I65" s="198"/>
      <c r="J65" s="6">
        <f>J37-J9</f>
        <v>0</v>
      </c>
      <c r="K65" s="198"/>
      <c r="L65" s="6">
        <f>L37-L9</f>
        <v>0</v>
      </c>
      <c r="M65" s="198"/>
      <c r="N65" s="6">
        <f>N37-N9</f>
        <v>1.1449999999999818</v>
      </c>
      <c r="O65" s="198"/>
      <c r="P65" s="23">
        <f>SUM(H65,J65,L65,N65)</f>
        <v>1.1449999999999818</v>
      </c>
      <c r="Q65" s="24"/>
      <c r="R65" s="6">
        <f>R37-R9</f>
        <v>1.1360000000000241</v>
      </c>
      <c r="S65" s="198"/>
      <c r="T65" s="6">
        <f>T37-T9</f>
        <v>0.95400000000000773</v>
      </c>
      <c r="U65" s="198"/>
      <c r="V65" s="6">
        <f>V37-V9</f>
        <v>0.68600000000000705</v>
      </c>
      <c r="W65" s="198"/>
      <c r="X65" s="6">
        <f>X37-X9</f>
        <v>0.46600000000000819</v>
      </c>
      <c r="Y65" s="6"/>
      <c r="Z65" s="23">
        <f>SUM(R65,T65,V65,X65)</f>
        <v>3.2420000000000471</v>
      </c>
      <c r="AA65" s="24"/>
      <c r="AB65" s="6">
        <f>AB37-AB9</f>
        <v>0.37400199999999018</v>
      </c>
    </row>
    <row r="66" spans="1:28" s="190" customFormat="1" ht="12.75" customHeight="1" x14ac:dyDescent="0.2">
      <c r="A66" s="16" t="s">
        <v>169</v>
      </c>
      <c r="B66" s="188">
        <v>0.90599999999997749</v>
      </c>
      <c r="C66" s="19"/>
      <c r="D66" s="188">
        <v>0.74199999999997601</v>
      </c>
      <c r="E66" s="19"/>
      <c r="F66" s="188">
        <v>0.39100000000001955</v>
      </c>
      <c r="G66" s="19"/>
      <c r="H66" s="189">
        <f t="shared" ref="H66:H68" si="22">H38-H10</f>
        <v>0</v>
      </c>
      <c r="I66" s="184"/>
      <c r="J66" s="189">
        <f t="shared" ref="J66:J68" si="23">J38-J10</f>
        <v>0</v>
      </c>
      <c r="K66" s="184"/>
      <c r="L66" s="189">
        <f t="shared" ref="L66:L68" si="24">L38-L10</f>
        <v>0</v>
      </c>
      <c r="M66" s="184"/>
      <c r="N66" s="189">
        <f t="shared" ref="N66:N68" si="25">N38-N10</f>
        <v>8.6999999999989086E-2</v>
      </c>
      <c r="O66" s="184"/>
      <c r="P66" s="188">
        <f>SUM(H66,J66,L66,N66)</f>
        <v>8.6999999999989086E-2</v>
      </c>
      <c r="Q66" s="19"/>
      <c r="R66" s="189">
        <f t="shared" ref="R66:R68" si="26">R38-R10</f>
        <v>0.23199999999999932</v>
      </c>
      <c r="S66" s="184"/>
      <c r="T66" s="189">
        <f t="shared" ref="T66:T68" si="27">T38-T10</f>
        <v>0.14900000000000091</v>
      </c>
      <c r="U66" s="184"/>
      <c r="V66" s="189">
        <f t="shared" ref="V66:V68" si="28">V38-V10</f>
        <v>7.4999999999988631E-2</v>
      </c>
      <c r="W66" s="184"/>
      <c r="X66" s="189">
        <f t="shared" ref="X66:X68" si="29">X38-X10</f>
        <v>5.4000000000002046E-2</v>
      </c>
      <c r="Y66" s="22"/>
      <c r="Z66" s="188">
        <f>SUM(R66,T66,V66,X66)</f>
        <v>0.50999999999999091</v>
      </c>
      <c r="AA66" s="19"/>
      <c r="AB66" s="22">
        <f t="shared" ref="AB66:AB68" si="30">AB38-AB10</f>
        <v>0.11196900000000198</v>
      </c>
    </row>
    <row r="67" spans="1:28" s="190" customFormat="1" ht="12.75" customHeight="1" x14ac:dyDescent="0.2">
      <c r="A67" s="16" t="s">
        <v>170</v>
      </c>
      <c r="B67" s="188">
        <v>0.23800000000000665</v>
      </c>
      <c r="C67" s="19"/>
      <c r="D67" s="188">
        <v>0.31200000000000117</v>
      </c>
      <c r="E67" s="19"/>
      <c r="F67" s="188">
        <v>0.26099999999999923</v>
      </c>
      <c r="G67" s="19"/>
      <c r="H67" s="189">
        <f t="shared" si="22"/>
        <v>0</v>
      </c>
      <c r="I67" s="184"/>
      <c r="J67" s="189">
        <f t="shared" si="23"/>
        <v>0</v>
      </c>
      <c r="K67" s="184"/>
      <c r="L67" s="189">
        <f t="shared" si="24"/>
        <v>0</v>
      </c>
      <c r="M67" s="184"/>
      <c r="N67" s="189">
        <f t="shared" si="25"/>
        <v>1.3000000000001677E-2</v>
      </c>
      <c r="O67" s="184"/>
      <c r="P67" s="188">
        <f>SUM(H67,J67,L67,N67)</f>
        <v>1.3000000000001677E-2</v>
      </c>
      <c r="Q67" s="19"/>
      <c r="R67" s="189">
        <f t="shared" si="26"/>
        <v>2.4000000000000909E-2</v>
      </c>
      <c r="S67" s="184"/>
      <c r="T67" s="189">
        <f t="shared" si="27"/>
        <v>2.0000000000003126E-2</v>
      </c>
      <c r="U67" s="184"/>
      <c r="V67" s="189">
        <f t="shared" si="28"/>
        <v>1.9000000000001904E-2</v>
      </c>
      <c r="W67" s="184"/>
      <c r="X67" s="189">
        <f t="shared" si="29"/>
        <v>2.1000000000000796E-2</v>
      </c>
      <c r="Y67" s="22"/>
      <c r="Z67" s="188">
        <f>SUM(R67,T67,V67,X67)</f>
        <v>8.4000000000006736E-2</v>
      </c>
      <c r="AA67" s="19"/>
      <c r="AB67" s="22">
        <f t="shared" si="30"/>
        <v>5.7480000000005305E-3</v>
      </c>
    </row>
    <row r="68" spans="1:28" s="169" customFormat="1" ht="12.75" customHeight="1" x14ac:dyDescent="0.2">
      <c r="A68" s="15" t="s">
        <v>171</v>
      </c>
      <c r="B68" s="191">
        <v>5.4000000000002046E-2</v>
      </c>
      <c r="C68" s="21"/>
      <c r="D68" s="191">
        <v>5.0999999999994827E-2</v>
      </c>
      <c r="E68" s="21"/>
      <c r="F68" s="191">
        <v>-1.0000000000047748E-3</v>
      </c>
      <c r="G68" s="21"/>
      <c r="H68" s="192">
        <f t="shared" si="22"/>
        <v>0</v>
      </c>
      <c r="I68" s="198"/>
      <c r="J68" s="192">
        <f t="shared" si="23"/>
        <v>0</v>
      </c>
      <c r="K68" s="198"/>
      <c r="L68" s="192">
        <f t="shared" si="24"/>
        <v>0</v>
      </c>
      <c r="M68" s="198"/>
      <c r="N68" s="192">
        <f t="shared" si="25"/>
        <v>4.0000000000048885E-3</v>
      </c>
      <c r="O68" s="198"/>
      <c r="P68" s="191">
        <f>SUM(H68,J68,L68,N68)</f>
        <v>4.0000000000048885E-3</v>
      </c>
      <c r="Q68" s="21"/>
      <c r="R68" s="192">
        <f t="shared" si="26"/>
        <v>1.2000000000000455E-2</v>
      </c>
      <c r="S68" s="198"/>
      <c r="T68" s="192">
        <f t="shared" si="27"/>
        <v>9.9999999999980105E-3</v>
      </c>
      <c r="U68" s="198"/>
      <c r="V68" s="192">
        <f t="shared" si="28"/>
        <v>6.0000000000002274E-3</v>
      </c>
      <c r="W68" s="198"/>
      <c r="X68" s="192">
        <f t="shared" si="29"/>
        <v>4.0000000000048885E-3</v>
      </c>
      <c r="Y68" s="6"/>
      <c r="Z68" s="191">
        <f>SUM(R68,T68,V68,X68)</f>
        <v>3.2000000000003581E-2</v>
      </c>
      <c r="AA68" s="21"/>
      <c r="AB68" s="234">
        <f t="shared" si="30"/>
        <v>6.8079999999994811E-3</v>
      </c>
    </row>
    <row r="69" spans="1:28" s="169" customFormat="1" ht="12.75" customHeight="1" x14ac:dyDescent="0.2">
      <c r="A69" s="18" t="s">
        <v>8</v>
      </c>
      <c r="B69" s="23">
        <v>2.6059999999999732</v>
      </c>
      <c r="C69" s="21"/>
      <c r="D69" s="23">
        <v>2.4849999999999675</v>
      </c>
      <c r="E69" s="21"/>
      <c r="F69" s="23">
        <v>3.0340000000000096</v>
      </c>
      <c r="G69" s="21"/>
      <c r="H69" s="6">
        <f>SUM(H65:H68)</f>
        <v>0</v>
      </c>
      <c r="I69" s="198"/>
      <c r="J69" s="6">
        <f>SUM(J65:J68)</f>
        <v>0</v>
      </c>
      <c r="K69" s="198"/>
      <c r="L69" s="6">
        <f>SUM(L65:L68)</f>
        <v>0</v>
      </c>
      <c r="M69" s="198"/>
      <c r="N69" s="6">
        <f>SUM(N65:N68)</f>
        <v>1.2489999999999775</v>
      </c>
      <c r="O69" s="198"/>
      <c r="P69" s="23">
        <f>SUM(P65:P68)</f>
        <v>1.2489999999999775</v>
      </c>
      <c r="Q69" s="21"/>
      <c r="R69" s="6">
        <f>SUM(R65:R68)</f>
        <v>1.4040000000000248</v>
      </c>
      <c r="S69" s="198"/>
      <c r="T69" s="6">
        <f>SUM(T65:T68)</f>
        <v>1.1330000000000098</v>
      </c>
      <c r="U69" s="198"/>
      <c r="V69" s="6">
        <f>SUM(V65:V68)</f>
        <v>0.78599999999999781</v>
      </c>
      <c r="W69" s="198"/>
      <c r="X69" s="6">
        <f>SUM(X65:X68)</f>
        <v>0.54500000000001592</v>
      </c>
      <c r="Y69" s="6"/>
      <c r="Z69" s="23">
        <f>SUM(Z65:Z68)</f>
        <v>3.8680000000000483</v>
      </c>
      <c r="AA69" s="21"/>
      <c r="AB69" s="6">
        <f>SUM(AB65:AB68)</f>
        <v>0.49852699999999217</v>
      </c>
    </row>
    <row r="70" spans="1:28" s="169" customFormat="1" ht="12.75" customHeight="1" x14ac:dyDescent="0.2">
      <c r="A70" s="7"/>
      <c r="B70" s="20"/>
      <c r="C70" s="21"/>
      <c r="D70" s="20"/>
      <c r="E70" s="21"/>
      <c r="F70" s="20"/>
      <c r="G70" s="21"/>
      <c r="H70" s="19"/>
      <c r="I70" s="21"/>
      <c r="J70" s="19"/>
      <c r="K70" s="21"/>
      <c r="L70" s="19"/>
      <c r="M70" s="21"/>
      <c r="N70" s="19"/>
      <c r="O70" s="24"/>
      <c r="P70" s="20"/>
      <c r="Q70" s="21"/>
      <c r="R70" s="19"/>
      <c r="S70" s="19"/>
      <c r="T70" s="19"/>
      <c r="U70" s="21"/>
      <c r="V70" s="19"/>
      <c r="W70" s="21"/>
      <c r="X70" s="19"/>
      <c r="Y70" s="24"/>
      <c r="Z70" s="20"/>
      <c r="AA70" s="21"/>
    </row>
    <row r="71" spans="1:28" ht="12.75" customHeight="1" thickBot="1" x14ac:dyDescent="0.25">
      <c r="A71" s="8"/>
      <c r="B71" s="183"/>
      <c r="C71" s="3"/>
      <c r="D71" s="183"/>
      <c r="E71" s="3"/>
      <c r="F71" s="183"/>
      <c r="G71" s="3"/>
      <c r="H71" s="184"/>
      <c r="I71" s="3"/>
      <c r="J71" s="184"/>
      <c r="K71" s="3"/>
      <c r="L71" s="184"/>
      <c r="M71" s="3"/>
      <c r="N71" s="184"/>
      <c r="O71" s="3"/>
      <c r="P71" s="183"/>
      <c r="Q71" s="3"/>
      <c r="R71" s="184"/>
      <c r="S71" s="184"/>
      <c r="T71" s="3"/>
      <c r="U71" s="3"/>
      <c r="V71" s="184"/>
      <c r="W71" s="3"/>
      <c r="X71" s="184"/>
      <c r="Y71" s="3"/>
      <c r="Z71" s="183"/>
      <c r="AA71" s="3"/>
    </row>
  </sheetData>
  <mergeCells count="4">
    <mergeCell ref="H3:P3"/>
    <mergeCell ref="R3:Z3"/>
    <mergeCell ref="H5:N5"/>
    <mergeCell ref="R5:X5"/>
  </mergeCells>
  <printOptions horizontalCentered="1"/>
  <pageMargins left="0.16" right="0.16" top="0.69" bottom="0.47" header="0.3" footer="0.3"/>
  <pageSetup scale="53" orientation="landscape" r:id="rId1"/>
  <headerFooter alignWithMargins="0">
    <oddHeader>&amp;L&amp;G</oddHeader>
    <oddFooter>&amp;C&amp;8PTC Investor Relations
Tel: (781) 370 6359</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AB53"/>
  <sheetViews>
    <sheetView zoomScale="85" zoomScaleNormal="85" workbookViewId="0">
      <pane xSplit="1" ySplit="6" topLeftCell="B7" activePane="bottomRight" state="frozen"/>
      <selection activeCell="AD36" sqref="AD36"/>
      <selection pane="topRight" activeCell="AD36" sqref="AD36"/>
      <selection pane="bottomLeft" activeCell="AD36" sqref="AD36"/>
      <selection pane="bottomRight" activeCell="A3" sqref="A3"/>
    </sheetView>
  </sheetViews>
  <sheetFormatPr defaultColWidth="9.140625" defaultRowHeight="12.75" x14ac:dyDescent="0.2"/>
  <cols>
    <col min="1" max="1" width="62.28515625" style="1" bestFit="1" customWidth="1"/>
    <col min="2" max="2" width="11.7109375" style="1" customWidth="1"/>
    <col min="3" max="3" width="1.140625" style="1" customWidth="1"/>
    <col min="4" max="4" width="11.7109375" style="1" customWidth="1"/>
    <col min="5" max="5" width="1.7109375" style="1" customWidth="1"/>
    <col min="6" max="6" width="11.7109375" style="1" customWidth="1"/>
    <col min="7" max="7" width="1.140625" style="1" customWidth="1"/>
    <col min="8" max="8" width="9.85546875" style="1" bestFit="1" customWidth="1"/>
    <col min="9" max="9" width="1.140625" style="1" customWidth="1"/>
    <col min="10" max="10" width="10.140625" style="185" bestFit="1" customWidth="1"/>
    <col min="11" max="11" width="1.140625" style="1" customWidth="1"/>
    <col min="12" max="12" width="9.42578125" style="1" bestFit="1" customWidth="1"/>
    <col min="13" max="13" width="1.140625" style="1" customWidth="1"/>
    <col min="14" max="14" width="9.85546875" style="1" bestFit="1" customWidth="1"/>
    <col min="15" max="15" width="1.140625" style="186" customWidth="1"/>
    <col min="16" max="16" width="11.7109375" style="1" customWidth="1"/>
    <col min="17" max="17" width="1.140625" style="1" customWidth="1"/>
    <col min="18" max="18" width="8" style="1" bestFit="1" customWidth="1"/>
    <col min="19" max="19" width="1.140625" style="1" customWidth="1"/>
    <col min="20" max="20" width="8.42578125" style="1" bestFit="1" customWidth="1"/>
    <col min="21" max="21" width="1.140625" style="1" customWidth="1"/>
    <col min="22" max="22" width="7.7109375" style="1" bestFit="1" customWidth="1"/>
    <col min="23" max="23" width="1.140625" style="1" customWidth="1"/>
    <col min="24" max="24" width="9.85546875" style="1" customWidth="1"/>
    <col min="25" max="25" width="1.140625" style="186" customWidth="1"/>
    <col min="26" max="26" width="11.7109375" style="1" customWidth="1"/>
    <col min="27" max="27" width="1" style="1" customWidth="1"/>
    <col min="28" max="28" width="10" style="1" bestFit="1" customWidth="1"/>
    <col min="29" max="16384" width="9.140625" style="1"/>
  </cols>
  <sheetData>
    <row r="1" spans="1:28" ht="12.75" customHeight="1" x14ac:dyDescent="0.2">
      <c r="A1" s="17" t="s">
        <v>180</v>
      </c>
      <c r="B1" s="4"/>
      <c r="C1" s="4"/>
      <c r="D1" s="4"/>
      <c r="E1" s="4"/>
      <c r="F1" s="4"/>
      <c r="G1" s="4"/>
      <c r="H1" s="4"/>
      <c r="I1" s="4"/>
      <c r="J1" s="4"/>
      <c r="K1" s="4"/>
      <c r="L1" s="4"/>
      <c r="M1" s="4"/>
      <c r="N1" s="4"/>
      <c r="O1" s="4"/>
      <c r="P1" s="4"/>
      <c r="Q1" s="4"/>
      <c r="R1" s="4"/>
      <c r="S1" s="4"/>
      <c r="T1" s="4"/>
      <c r="U1" s="4"/>
      <c r="V1" s="4"/>
      <c r="W1" s="4"/>
      <c r="X1" s="4"/>
      <c r="Y1" s="4"/>
      <c r="Z1" s="4"/>
    </row>
    <row r="2" spans="1:28" ht="12.75" customHeight="1" thickBot="1" x14ac:dyDescent="0.25">
      <c r="J2" s="1"/>
      <c r="O2" s="1"/>
      <c r="Y2" s="1"/>
    </row>
    <row r="3" spans="1:28" s="3" customFormat="1" ht="12.75" customHeight="1" thickBot="1" x14ac:dyDescent="0.25">
      <c r="B3" s="27" t="s">
        <v>6</v>
      </c>
      <c r="C3" s="1"/>
      <c r="D3" s="27" t="s">
        <v>5</v>
      </c>
      <c r="E3" s="1"/>
      <c r="F3" s="27" t="s">
        <v>4</v>
      </c>
      <c r="H3" s="262" t="s">
        <v>3</v>
      </c>
      <c r="I3" s="263"/>
      <c r="J3" s="263"/>
      <c r="K3" s="263"/>
      <c r="L3" s="263"/>
      <c r="M3" s="263"/>
      <c r="N3" s="263"/>
      <c r="O3" s="263"/>
      <c r="P3" s="264"/>
      <c r="R3" s="262" t="s">
        <v>2</v>
      </c>
      <c r="S3" s="263"/>
      <c r="T3" s="263"/>
      <c r="U3" s="263"/>
      <c r="V3" s="263"/>
      <c r="W3" s="263"/>
      <c r="X3" s="263"/>
      <c r="Y3" s="263"/>
      <c r="Z3" s="264"/>
      <c r="AB3" s="27" t="s">
        <v>149</v>
      </c>
    </row>
    <row r="4" spans="1:28" s="3" customFormat="1" ht="12.75" customHeight="1" thickBot="1" x14ac:dyDescent="0.25"/>
    <row r="5" spans="1:28" s="3" customFormat="1" ht="12.75" customHeight="1" x14ac:dyDescent="0.2">
      <c r="B5" s="10" t="s">
        <v>1</v>
      </c>
      <c r="D5" s="10" t="s">
        <v>1</v>
      </c>
      <c r="F5" s="10" t="s">
        <v>1</v>
      </c>
      <c r="H5" s="265" t="s">
        <v>0</v>
      </c>
      <c r="I5" s="265"/>
      <c r="J5" s="265"/>
      <c r="K5" s="265"/>
      <c r="L5" s="265"/>
      <c r="M5" s="265"/>
      <c r="N5" s="265"/>
      <c r="P5" s="10" t="s">
        <v>1</v>
      </c>
      <c r="R5" s="265" t="s">
        <v>0</v>
      </c>
      <c r="S5" s="265"/>
      <c r="T5" s="265"/>
      <c r="U5" s="265"/>
      <c r="V5" s="265"/>
      <c r="W5" s="265"/>
      <c r="X5" s="265"/>
      <c r="Z5" s="10" t="s">
        <v>1</v>
      </c>
      <c r="AB5" s="162" t="s">
        <v>150</v>
      </c>
    </row>
    <row r="6" spans="1:28" s="2" customFormat="1" ht="12.75" customHeight="1" x14ac:dyDescent="0.2">
      <c r="A6" s="5"/>
      <c r="B6" s="12">
        <v>40816</v>
      </c>
      <c r="D6" s="12">
        <v>41182</v>
      </c>
      <c r="F6" s="12">
        <v>41547</v>
      </c>
      <c r="H6" s="11">
        <v>41636</v>
      </c>
      <c r="J6" s="11">
        <v>41727</v>
      </c>
      <c r="L6" s="11">
        <v>41818</v>
      </c>
      <c r="N6" s="11">
        <v>41912</v>
      </c>
      <c r="P6" s="12">
        <v>41912</v>
      </c>
      <c r="R6" s="11">
        <v>42007</v>
      </c>
      <c r="S6" s="13"/>
      <c r="T6" s="11">
        <v>42098</v>
      </c>
      <c r="V6" s="11">
        <v>42189</v>
      </c>
      <c r="X6" s="11">
        <v>41912</v>
      </c>
      <c r="Z6" s="12">
        <v>41912</v>
      </c>
      <c r="AB6" s="11">
        <v>42371</v>
      </c>
    </row>
    <row r="7" spans="1:28" x14ac:dyDescent="0.2">
      <c r="A7" s="14" t="s">
        <v>7</v>
      </c>
      <c r="B7" s="166"/>
      <c r="C7" s="24"/>
      <c r="D7" s="166"/>
      <c r="E7" s="24"/>
      <c r="F7" s="166"/>
      <c r="G7" s="24"/>
      <c r="H7" s="167"/>
      <c r="I7" s="24"/>
      <c r="J7" s="167"/>
      <c r="K7" s="24"/>
      <c r="L7" s="168"/>
      <c r="M7" s="24"/>
      <c r="N7" s="168"/>
      <c r="O7" s="24"/>
      <c r="P7" s="166"/>
      <c r="Q7" s="24"/>
      <c r="R7" s="167"/>
      <c r="S7" s="167"/>
      <c r="T7" s="168"/>
      <c r="U7" s="24"/>
      <c r="V7" s="168"/>
      <c r="W7" s="24"/>
      <c r="X7" s="168"/>
      <c r="Y7" s="24"/>
      <c r="Z7" s="166"/>
      <c r="AB7" s="167"/>
    </row>
    <row r="8" spans="1:28" x14ac:dyDescent="0.2">
      <c r="A8" s="5" t="s">
        <v>181</v>
      </c>
      <c r="B8" s="166"/>
      <c r="C8" s="24"/>
      <c r="D8" s="166"/>
      <c r="E8" s="24"/>
      <c r="F8" s="166"/>
      <c r="G8" s="24"/>
      <c r="H8" s="167"/>
      <c r="I8" s="24"/>
      <c r="J8" s="167"/>
      <c r="K8" s="24"/>
      <c r="L8" s="168"/>
      <c r="M8" s="24"/>
      <c r="N8" s="168"/>
      <c r="O8" s="24"/>
      <c r="P8" s="166"/>
      <c r="Q8" s="24"/>
      <c r="R8" s="167"/>
      <c r="S8" s="167"/>
      <c r="T8" s="168"/>
      <c r="U8" s="24"/>
      <c r="V8" s="168"/>
      <c r="W8" s="24"/>
      <c r="X8" s="168"/>
      <c r="Y8" s="24"/>
      <c r="Z8" s="166"/>
      <c r="AB8" s="167"/>
    </row>
    <row r="9" spans="1:28" x14ac:dyDescent="0.2">
      <c r="A9" s="15" t="s">
        <v>182</v>
      </c>
      <c r="B9" s="23">
        <v>1166.95</v>
      </c>
      <c r="C9" s="24"/>
      <c r="D9" s="23">
        <v>1255.6780000000001</v>
      </c>
      <c r="E9" s="24"/>
      <c r="F9" s="23">
        <v>1293.5419999999999</v>
      </c>
      <c r="G9" s="24"/>
      <c r="H9" s="6">
        <v>324.92500000000001</v>
      </c>
      <c r="I9" s="24"/>
      <c r="J9" s="6">
        <v>328.22500000000002</v>
      </c>
      <c r="K9" s="24"/>
      <c r="L9" s="6">
        <v>336.14400000000001</v>
      </c>
      <c r="M9" s="24"/>
      <c r="N9" s="6">
        <v>362.50599999999997</v>
      </c>
      <c r="O9" s="24"/>
      <c r="P9" s="23">
        <f>SUM(H9,J9,L9,N9)</f>
        <v>1351.8000000000002</v>
      </c>
      <c r="Q9" s="24"/>
      <c r="R9" s="6">
        <v>315.90099999999995</v>
      </c>
      <c r="S9" s="24"/>
      <c r="T9" s="6">
        <v>304.68399999999997</v>
      </c>
      <c r="U9" s="24"/>
      <c r="V9" s="6">
        <v>281.74</v>
      </c>
      <c r="W9" s="24"/>
      <c r="X9" s="6">
        <v>300.05599999999998</v>
      </c>
      <c r="Y9" s="24"/>
      <c r="Z9" s="23">
        <f>SUM(R9,T9,V9,X9)</f>
        <v>1202.3809999999999</v>
      </c>
      <c r="AB9" s="6">
        <v>275.79599999999999</v>
      </c>
    </row>
    <row r="10" spans="1:28" x14ac:dyDescent="0.2">
      <c r="A10" s="16" t="s">
        <v>183</v>
      </c>
      <c r="B10" s="191">
        <v>0</v>
      </c>
      <c r="C10" s="19"/>
      <c r="D10" s="191">
        <v>0</v>
      </c>
      <c r="E10" s="19"/>
      <c r="F10" s="191">
        <v>0</v>
      </c>
      <c r="G10" s="19"/>
      <c r="H10" s="192">
        <v>0</v>
      </c>
      <c r="I10" s="19"/>
      <c r="J10" s="192">
        <v>0.47500000000000003</v>
      </c>
      <c r="K10" s="19"/>
      <c r="L10" s="192">
        <v>0.49</v>
      </c>
      <c r="M10" s="19"/>
      <c r="N10" s="192">
        <v>4.202</v>
      </c>
      <c r="O10" s="25"/>
      <c r="P10" s="191">
        <f>SUM(H10,J10,L10,N10)</f>
        <v>5.1669999999999998</v>
      </c>
      <c r="Q10" s="19"/>
      <c r="R10" s="192">
        <v>9.5410000000000004</v>
      </c>
      <c r="S10" s="19"/>
      <c r="T10" s="192">
        <v>9.4350000000000005</v>
      </c>
      <c r="U10" s="19"/>
      <c r="V10" s="192">
        <v>21.373000000000001</v>
      </c>
      <c r="W10" s="19"/>
      <c r="X10" s="192">
        <v>12.509</v>
      </c>
      <c r="Y10" s="25"/>
      <c r="Z10" s="191">
        <f>SUM(R10,T10,V10,X10)</f>
        <v>52.858000000000004</v>
      </c>
      <c r="AB10" s="192">
        <v>15.208</v>
      </c>
    </row>
    <row r="11" spans="1:28" x14ac:dyDescent="0.2">
      <c r="A11" s="18" t="s">
        <v>8</v>
      </c>
      <c r="B11" s="23">
        <v>1166.95</v>
      </c>
      <c r="C11" s="21"/>
      <c r="D11" s="23">
        <v>1255.6780000000001</v>
      </c>
      <c r="E11" s="21"/>
      <c r="F11" s="23">
        <v>1293.5419999999999</v>
      </c>
      <c r="G11" s="21"/>
      <c r="H11" s="6">
        <f>SUM(H9:H10)</f>
        <v>324.92500000000001</v>
      </c>
      <c r="I11" s="21"/>
      <c r="J11" s="6">
        <f>SUM(J9:J10)</f>
        <v>328.70000000000005</v>
      </c>
      <c r="K11" s="21"/>
      <c r="L11" s="6">
        <f>SUM(L9:L10)</f>
        <v>336.63400000000001</v>
      </c>
      <c r="M11" s="21"/>
      <c r="N11" s="6">
        <f>SUM(N9:N10)</f>
        <v>366.70799999999997</v>
      </c>
      <c r="O11" s="24"/>
      <c r="P11" s="23">
        <f>SUM(P9:P10)</f>
        <v>1356.9670000000001</v>
      </c>
      <c r="Q11" s="21"/>
      <c r="R11" s="6">
        <f>SUM(R9:R10)</f>
        <v>325.44199999999995</v>
      </c>
      <c r="S11" s="22"/>
      <c r="T11" s="6">
        <f>SUM(T9:T10)</f>
        <v>314.11899999999997</v>
      </c>
      <c r="U11" s="6"/>
      <c r="V11" s="6">
        <f>SUM(V9:V10)</f>
        <v>303.113</v>
      </c>
      <c r="W11" s="21"/>
      <c r="X11" s="6">
        <f>SUM(X9:X10)</f>
        <v>312.565</v>
      </c>
      <c r="Y11" s="24"/>
      <c r="Z11" s="23">
        <f>SUM(Z9:Z10)</f>
        <v>1255.2389999999998</v>
      </c>
      <c r="AB11" s="6">
        <f>SUM(AB9:AB10)</f>
        <v>291.00400000000002</v>
      </c>
    </row>
    <row r="12" spans="1:28" x14ac:dyDescent="0.2">
      <c r="A12" s="7"/>
      <c r="B12" s="20"/>
      <c r="C12" s="21"/>
      <c r="D12" s="20"/>
      <c r="E12" s="21"/>
      <c r="F12" s="20"/>
      <c r="G12" s="21"/>
      <c r="H12" s="19"/>
      <c r="I12" s="21"/>
      <c r="J12" s="19"/>
      <c r="K12" s="21"/>
      <c r="L12" s="19"/>
      <c r="M12" s="21"/>
      <c r="N12" s="19"/>
      <c r="O12" s="21"/>
      <c r="P12" s="20"/>
      <c r="Q12" s="21"/>
      <c r="R12" s="19"/>
      <c r="S12" s="21"/>
      <c r="T12" s="19"/>
      <c r="U12" s="21"/>
      <c r="V12" s="19"/>
      <c r="W12" s="21"/>
      <c r="X12" s="19"/>
      <c r="Y12" s="21"/>
      <c r="Z12" s="20"/>
      <c r="AB12" s="19"/>
    </row>
    <row r="13" spans="1:28" x14ac:dyDescent="0.2">
      <c r="A13" s="5" t="s">
        <v>172</v>
      </c>
      <c r="B13" s="166"/>
      <c r="C13" s="24"/>
      <c r="D13" s="166"/>
      <c r="E13" s="24"/>
      <c r="F13" s="166"/>
      <c r="G13" s="24"/>
      <c r="H13" s="167"/>
      <c r="I13" s="24"/>
      <c r="J13" s="167"/>
      <c r="K13" s="24"/>
      <c r="L13" s="168"/>
      <c r="M13" s="24"/>
      <c r="N13" s="168"/>
      <c r="O13" s="24"/>
      <c r="P13" s="166"/>
      <c r="Q13" s="24"/>
      <c r="R13" s="167"/>
      <c r="S13" s="167"/>
      <c r="T13" s="168"/>
      <c r="U13" s="24"/>
      <c r="V13" s="168"/>
      <c r="W13" s="24"/>
      <c r="X13" s="168"/>
      <c r="Y13" s="24"/>
      <c r="Z13" s="166"/>
      <c r="AB13" s="167"/>
    </row>
    <row r="14" spans="1:28" x14ac:dyDescent="0.2">
      <c r="A14" s="15" t="s">
        <v>182</v>
      </c>
      <c r="B14" s="170">
        <v>1</v>
      </c>
      <c r="C14" s="171"/>
      <c r="D14" s="170">
        <v>1</v>
      </c>
      <c r="E14" s="171"/>
      <c r="F14" s="170">
        <v>1</v>
      </c>
      <c r="G14" s="171"/>
      <c r="H14" s="172">
        <f>H9/H$11</f>
        <v>1</v>
      </c>
      <c r="I14" s="171"/>
      <c r="J14" s="172">
        <f>J9/J$11</f>
        <v>0.99855491329479762</v>
      </c>
      <c r="K14" s="171"/>
      <c r="L14" s="172">
        <f>L9/L$11</f>
        <v>0.99854441322029264</v>
      </c>
      <c r="M14" s="171"/>
      <c r="N14" s="172">
        <f>N9/N$11</f>
        <v>0.98854129170893468</v>
      </c>
      <c r="O14" s="171"/>
      <c r="P14" s="170">
        <f>P9/P$11</f>
        <v>0.99619224343701807</v>
      </c>
      <c r="Q14" s="171"/>
      <c r="R14" s="172">
        <f>R9/R$11</f>
        <v>0.97068294811364242</v>
      </c>
      <c r="S14" s="171"/>
      <c r="T14" s="172">
        <f>T9/T$11</f>
        <v>0.96996361251627572</v>
      </c>
      <c r="U14" s="171"/>
      <c r="V14" s="172">
        <f>V9/V$11</f>
        <v>0.92948834263129598</v>
      </c>
      <c r="W14" s="171"/>
      <c r="X14" s="172">
        <f>X9/X$11</f>
        <v>0.95997952425895405</v>
      </c>
      <c r="Y14" s="171"/>
      <c r="Z14" s="170">
        <f>Z9/Z$11</f>
        <v>0.95789009105038969</v>
      </c>
      <c r="AB14" s="172">
        <f>AB9/AB$11</f>
        <v>0.94773954997182164</v>
      </c>
    </row>
    <row r="15" spans="1:28" x14ac:dyDescent="0.2">
      <c r="A15" s="16" t="s">
        <v>183</v>
      </c>
      <c r="B15" s="173">
        <v>0</v>
      </c>
      <c r="C15" s="171"/>
      <c r="D15" s="173">
        <v>0</v>
      </c>
      <c r="E15" s="171"/>
      <c r="F15" s="173">
        <v>0</v>
      </c>
      <c r="G15" s="171"/>
      <c r="H15" s="174">
        <f>H10/H$11</f>
        <v>0</v>
      </c>
      <c r="I15" s="171"/>
      <c r="J15" s="174">
        <f>J10/J$11</f>
        <v>1.4450867052023121E-3</v>
      </c>
      <c r="K15" s="171"/>
      <c r="L15" s="174">
        <f>L10/L$11</f>
        <v>1.4555867797073378E-3</v>
      </c>
      <c r="M15" s="171"/>
      <c r="N15" s="174">
        <f>N10/N$11</f>
        <v>1.1458708291065371E-2</v>
      </c>
      <c r="O15" s="171"/>
      <c r="P15" s="173">
        <f>P10/P$11</f>
        <v>3.8077565629820028E-3</v>
      </c>
      <c r="Q15" s="171"/>
      <c r="R15" s="174">
        <f>R10/R$11</f>
        <v>2.9317051886357637E-2</v>
      </c>
      <c r="S15" s="171"/>
      <c r="T15" s="174">
        <f>T10/T$11</f>
        <v>3.0036387483724326E-2</v>
      </c>
      <c r="U15" s="171"/>
      <c r="V15" s="174">
        <f>V10/V$11</f>
        <v>7.0511657368704087E-2</v>
      </c>
      <c r="W15" s="171"/>
      <c r="X15" s="174">
        <f>X10/X$11</f>
        <v>4.0020475741045863E-2</v>
      </c>
      <c r="Y15" s="171"/>
      <c r="Z15" s="173">
        <f>Z10/Z$11</f>
        <v>4.2109908949610406E-2</v>
      </c>
      <c r="AB15" s="174">
        <f>AB10/AB$11</f>
        <v>5.2260450028178307E-2</v>
      </c>
    </row>
    <row r="16" spans="1:28" x14ac:dyDescent="0.2">
      <c r="A16" s="18" t="s">
        <v>8</v>
      </c>
      <c r="B16" s="170">
        <v>1</v>
      </c>
      <c r="C16" s="172"/>
      <c r="D16" s="170">
        <v>1</v>
      </c>
      <c r="E16" s="172"/>
      <c r="F16" s="170">
        <v>1</v>
      </c>
      <c r="G16" s="172"/>
      <c r="H16" s="172">
        <f>SUM(H14:H15)</f>
        <v>1</v>
      </c>
      <c r="I16" s="172"/>
      <c r="J16" s="172">
        <f>SUM(J14:J15)</f>
        <v>0.99999999999999989</v>
      </c>
      <c r="K16" s="172"/>
      <c r="L16" s="172">
        <f>SUM(L14:L15)</f>
        <v>1</v>
      </c>
      <c r="M16" s="172"/>
      <c r="N16" s="172">
        <f>SUM(N14:N15)</f>
        <v>1</v>
      </c>
      <c r="O16" s="171"/>
      <c r="P16" s="170">
        <f>SUM(P14:P15)</f>
        <v>1</v>
      </c>
      <c r="Q16" s="172"/>
      <c r="R16" s="172">
        <f>SUM(R14:R15)</f>
        <v>1</v>
      </c>
      <c r="S16" s="172"/>
      <c r="T16" s="172">
        <f>SUM(T14:T15)</f>
        <v>1</v>
      </c>
      <c r="U16" s="172"/>
      <c r="V16" s="172">
        <f>SUM(V14:V15)</f>
        <v>1</v>
      </c>
      <c r="W16" s="172"/>
      <c r="X16" s="172">
        <f>SUM(X14:X15)</f>
        <v>0.99999999999999989</v>
      </c>
      <c r="Y16" s="171"/>
      <c r="Z16" s="170">
        <f>SUM(Z14:Z15)</f>
        <v>1</v>
      </c>
      <c r="AB16" s="172">
        <f>SUM(AB14:AB15)</f>
        <v>1</v>
      </c>
    </row>
    <row r="17" spans="1:28" x14ac:dyDescent="0.2">
      <c r="A17" s="7"/>
      <c r="B17" s="193"/>
      <c r="C17" s="21"/>
      <c r="D17" s="193"/>
      <c r="E17" s="21"/>
      <c r="F17" s="193"/>
      <c r="G17" s="21"/>
      <c r="H17" s="194"/>
      <c r="I17" s="21"/>
      <c r="J17" s="194"/>
      <c r="K17" s="21"/>
      <c r="L17" s="194"/>
      <c r="M17" s="21"/>
      <c r="N17" s="194"/>
      <c r="O17" s="24"/>
      <c r="P17" s="193"/>
      <c r="Q17" s="21"/>
      <c r="R17" s="194"/>
      <c r="S17" s="195"/>
      <c r="T17" s="194"/>
      <c r="U17" s="21"/>
      <c r="V17" s="194"/>
      <c r="W17" s="21"/>
      <c r="X17" s="194"/>
      <c r="Y17" s="24"/>
      <c r="Z17" s="193"/>
      <c r="AB17" s="194"/>
    </row>
    <row r="18" spans="1:28" x14ac:dyDescent="0.2">
      <c r="A18" s="5" t="s">
        <v>173</v>
      </c>
      <c r="B18" s="166"/>
      <c r="C18" s="24"/>
      <c r="D18" s="166"/>
      <c r="E18" s="24"/>
      <c r="F18" s="166"/>
      <c r="G18" s="24"/>
      <c r="H18" s="167"/>
      <c r="I18" s="24"/>
      <c r="J18" s="167"/>
      <c r="K18" s="24"/>
      <c r="L18" s="168"/>
      <c r="M18" s="24"/>
      <c r="N18" s="168"/>
      <c r="O18" s="24"/>
      <c r="P18" s="166"/>
      <c r="Q18" s="24"/>
      <c r="R18" s="167"/>
      <c r="S18" s="167"/>
      <c r="T18" s="168"/>
      <c r="U18" s="24"/>
      <c r="V18" s="168"/>
      <c r="W18" s="24"/>
      <c r="X18" s="168"/>
      <c r="Y18" s="24"/>
      <c r="Z18" s="166"/>
      <c r="AB18" s="167"/>
    </row>
    <row r="19" spans="1:28" x14ac:dyDescent="0.2">
      <c r="A19" s="15" t="s">
        <v>182</v>
      </c>
      <c r="B19" s="170">
        <v>0.15534113230262325</v>
      </c>
      <c r="C19" s="171"/>
      <c r="D19" s="170">
        <v>7.6034106002828006E-2</v>
      </c>
      <c r="E19" s="171"/>
      <c r="F19" s="170">
        <v>3.0154227437288794E-2</v>
      </c>
      <c r="G19" s="171"/>
      <c r="H19" s="172">
        <v>1.61781630763842E-2</v>
      </c>
      <c r="I19" s="171"/>
      <c r="J19" s="172">
        <v>4.5472353789947073E-2</v>
      </c>
      <c r="K19" s="171"/>
      <c r="L19" s="172">
        <v>6.7137360474418761E-2</v>
      </c>
      <c r="M19" s="171"/>
      <c r="N19" s="172">
        <v>5.1214313677159229E-2</v>
      </c>
      <c r="O19" s="171"/>
      <c r="P19" s="170">
        <v>4.5038469056028485E-2</v>
      </c>
      <c r="Q19" s="171"/>
      <c r="R19" s="172">
        <f>IFERROR(R9/H9-1,0)</f>
        <v>-2.777256289913077E-2</v>
      </c>
      <c r="S19" s="171"/>
      <c r="T19" s="172">
        <f>IFERROR(T9/J9-1,0)</f>
        <v>-7.1722141823444496E-2</v>
      </c>
      <c r="U19" s="171"/>
      <c r="V19" s="172">
        <f>IFERROR(V9/L9-1,0)</f>
        <v>-0.1618473035365795</v>
      </c>
      <c r="W19" s="171"/>
      <c r="X19" s="172">
        <f>IFERROR(X9/N9-1,0)</f>
        <v>-0.17227301065361678</v>
      </c>
      <c r="Y19" s="171"/>
      <c r="Z19" s="170">
        <f>IFERROR(Z9/P9-1,0)</f>
        <v>-0.11053336292350957</v>
      </c>
      <c r="AB19" s="172">
        <f>IFERROR(AB9/R9-1,0)</f>
        <v>-0.12695433062889949</v>
      </c>
    </row>
    <row r="20" spans="1:28" x14ac:dyDescent="0.2">
      <c r="A20" s="16" t="s">
        <v>183</v>
      </c>
      <c r="B20" s="173">
        <v>0</v>
      </c>
      <c r="C20" s="171"/>
      <c r="D20" s="173">
        <v>0</v>
      </c>
      <c r="E20" s="171"/>
      <c r="F20" s="173">
        <v>0</v>
      </c>
      <c r="G20" s="171"/>
      <c r="H20" s="174">
        <v>0</v>
      </c>
      <c r="I20" s="171"/>
      <c r="J20" s="174">
        <v>0</v>
      </c>
      <c r="K20" s="171"/>
      <c r="L20" s="174">
        <v>0</v>
      </c>
      <c r="M20" s="171"/>
      <c r="N20" s="174">
        <v>0</v>
      </c>
      <c r="O20" s="171"/>
      <c r="P20" s="173">
        <f t="shared" ref="P20:P21" si="0">IFERROR(P10/F10-1,0)</f>
        <v>0</v>
      </c>
      <c r="Q20" s="171"/>
      <c r="R20" s="174">
        <f t="shared" ref="R20:R21" si="1">IFERROR(R10/H10-1,0)</f>
        <v>0</v>
      </c>
      <c r="S20" s="171"/>
      <c r="T20" s="174">
        <f t="shared" ref="T20:T21" si="2">IFERROR(T10/J10-1,0)</f>
        <v>18.86315789473684</v>
      </c>
      <c r="U20" s="171"/>
      <c r="V20" s="174">
        <f t="shared" ref="V20:V21" si="3">IFERROR(V10/L10-1,0)</f>
        <v>42.618367346938776</v>
      </c>
      <c r="W20" s="171"/>
      <c r="X20" s="174">
        <f t="shared" ref="X20:X21" si="4">IFERROR(X10/N10-1,0)</f>
        <v>1.9769157544026656</v>
      </c>
      <c r="Y20" s="171"/>
      <c r="Z20" s="173">
        <f t="shared" ref="Z20:Z21" si="5">IFERROR(Z10/P10-1,0)</f>
        <v>9.2299206502806275</v>
      </c>
      <c r="AB20" s="174">
        <f t="shared" ref="AB20:AB21" si="6">IFERROR(AB10/R10-1,0)</f>
        <v>0.59396289697096738</v>
      </c>
    </row>
    <row r="21" spans="1:28" x14ac:dyDescent="0.2">
      <c r="A21" s="18" t="s">
        <v>8</v>
      </c>
      <c r="B21" s="170">
        <v>0.15534113230262325</v>
      </c>
      <c r="C21" s="172"/>
      <c r="D21" s="170">
        <v>7.6034106002828006E-2</v>
      </c>
      <c r="E21" s="172"/>
      <c r="F21" s="170">
        <v>3.0154227437288794E-2</v>
      </c>
      <c r="G21" s="172"/>
      <c r="H21" s="172">
        <v>1.61781630763842E-2</v>
      </c>
      <c r="I21" s="172"/>
      <c r="J21" s="172">
        <v>4.698533838298613E-2</v>
      </c>
      <c r="K21" s="172"/>
      <c r="L21" s="172">
        <v>6.8692935783311704E-2</v>
      </c>
      <c r="M21" s="172"/>
      <c r="N21" s="172">
        <v>6.3399498325334314E-2</v>
      </c>
      <c r="O21" s="171"/>
      <c r="P21" s="170">
        <f t="shared" si="0"/>
        <v>4.9032037614549884E-2</v>
      </c>
      <c r="Q21" s="172"/>
      <c r="R21" s="172">
        <f t="shared" si="1"/>
        <v>1.591136416095873E-3</v>
      </c>
      <c r="S21" s="172"/>
      <c r="T21" s="172">
        <f t="shared" si="2"/>
        <v>-4.4359598418010515E-2</v>
      </c>
      <c r="U21" s="172"/>
      <c r="V21" s="172">
        <f t="shared" si="3"/>
        <v>-9.9576988658305554E-2</v>
      </c>
      <c r="W21" s="172"/>
      <c r="X21" s="172">
        <f t="shared" si="4"/>
        <v>-0.14764608353240172</v>
      </c>
      <c r="Y21" s="171"/>
      <c r="Z21" s="170">
        <f t="shared" si="5"/>
        <v>-7.4967187853499984E-2</v>
      </c>
      <c r="AB21" s="172">
        <f t="shared" si="6"/>
        <v>-0.10581916286158499</v>
      </c>
    </row>
    <row r="22" spans="1:28" x14ac:dyDescent="0.2">
      <c r="A22" s="7"/>
      <c r="B22" s="193"/>
      <c r="C22" s="21"/>
      <c r="D22" s="193"/>
      <c r="E22" s="21"/>
      <c r="F22" s="193"/>
      <c r="G22" s="21"/>
      <c r="H22" s="194"/>
      <c r="I22" s="21"/>
      <c r="J22" s="194"/>
      <c r="K22" s="21"/>
      <c r="L22" s="194"/>
      <c r="M22" s="21"/>
      <c r="N22" s="194"/>
      <c r="O22" s="24"/>
      <c r="P22" s="193"/>
      <c r="Q22" s="21"/>
      <c r="R22" s="194"/>
      <c r="S22" s="195"/>
      <c r="T22" s="194"/>
      <c r="U22" s="21"/>
      <c r="V22" s="194"/>
      <c r="W22" s="21"/>
      <c r="X22" s="194"/>
      <c r="Y22" s="24"/>
      <c r="Z22" s="193"/>
      <c r="AB22" s="194"/>
    </row>
    <row r="23" spans="1:28" x14ac:dyDescent="0.2">
      <c r="A23" s="5" t="s">
        <v>174</v>
      </c>
      <c r="B23" s="166"/>
      <c r="C23" s="24"/>
      <c r="D23" s="166"/>
      <c r="E23" s="24"/>
      <c r="F23" s="166"/>
      <c r="G23" s="24"/>
      <c r="H23" s="167"/>
      <c r="I23" s="24"/>
      <c r="J23" s="167"/>
      <c r="K23" s="24"/>
      <c r="L23" s="168"/>
      <c r="M23" s="24"/>
      <c r="N23" s="168"/>
      <c r="O23" s="24"/>
      <c r="P23" s="166"/>
      <c r="Q23" s="24"/>
      <c r="R23" s="167"/>
      <c r="S23" s="167"/>
      <c r="T23" s="168"/>
      <c r="U23" s="24"/>
      <c r="V23" s="168"/>
      <c r="W23" s="24"/>
      <c r="X23" s="168"/>
      <c r="Y23" s="24"/>
      <c r="Z23" s="166"/>
      <c r="AB23" s="167"/>
    </row>
    <row r="24" spans="1:28" x14ac:dyDescent="0.2">
      <c r="A24" s="15" t="s">
        <v>182</v>
      </c>
      <c r="B24" s="170">
        <v>0.11899999999999999</v>
      </c>
      <c r="C24" s="171"/>
      <c r="D24" s="170">
        <v>9.8000000000000004E-2</v>
      </c>
      <c r="E24" s="171"/>
      <c r="F24" s="170">
        <v>4.4629597668911863E-2</v>
      </c>
      <c r="G24" s="171"/>
      <c r="H24" s="172">
        <v>2.1539073350300877E-2</v>
      </c>
      <c r="I24" s="171"/>
      <c r="J24" s="172">
        <v>5.4153587011774688E-2</v>
      </c>
      <c r="K24" s="171"/>
      <c r="L24" s="172">
        <v>5.1781383324557215E-2</v>
      </c>
      <c r="M24" s="171"/>
      <c r="N24" s="172">
        <v>4.6397826766093588E-2</v>
      </c>
      <c r="O24" s="171"/>
      <c r="P24" s="170">
        <v>4.3446306810771572E-2</v>
      </c>
      <c r="Q24" s="171"/>
      <c r="R24" s="172">
        <v>9.9995160592805266E-3</v>
      </c>
      <c r="S24" s="171"/>
      <c r="T24" s="172">
        <v>5.9079079236590247E-3</v>
      </c>
      <c r="U24" s="171"/>
      <c r="V24" s="172">
        <v>-7.1089247514577375E-2</v>
      </c>
      <c r="W24" s="171"/>
      <c r="X24" s="172">
        <v>-8.7444291453607978E-2</v>
      </c>
      <c r="Y24" s="171"/>
      <c r="Z24" s="170">
        <v>-3.7288870636214763E-2</v>
      </c>
      <c r="AB24" s="199">
        <v>-6.0641667028289145E-2</v>
      </c>
    </row>
    <row r="25" spans="1:28" x14ac:dyDescent="0.2">
      <c r="A25" s="16" t="s">
        <v>183</v>
      </c>
      <c r="B25" s="173">
        <v>0</v>
      </c>
      <c r="C25" s="171"/>
      <c r="D25" s="173">
        <v>0</v>
      </c>
      <c r="E25" s="171"/>
      <c r="F25" s="173">
        <v>0</v>
      </c>
      <c r="G25" s="171"/>
      <c r="H25" s="200" t="s">
        <v>184</v>
      </c>
      <c r="I25" s="201"/>
      <c r="J25" s="200" t="s">
        <v>184</v>
      </c>
      <c r="K25" s="201"/>
      <c r="L25" s="200" t="s">
        <v>184</v>
      </c>
      <c r="M25" s="201"/>
      <c r="N25" s="200" t="s">
        <v>184</v>
      </c>
      <c r="O25" s="201"/>
      <c r="P25" s="202">
        <v>0</v>
      </c>
      <c r="Q25" s="201"/>
      <c r="R25" s="200" t="s">
        <v>184</v>
      </c>
      <c r="S25" s="171"/>
      <c r="T25" s="174">
        <v>19.161999999999999</v>
      </c>
      <c r="U25" s="171"/>
      <c r="V25" s="174">
        <v>43.107999999999997</v>
      </c>
      <c r="W25" s="201"/>
      <c r="X25" s="200">
        <v>2.0417999999999998</v>
      </c>
      <c r="Y25" s="201"/>
      <c r="Z25" s="202">
        <v>9.3632299999999997</v>
      </c>
      <c r="AB25" s="200">
        <v>0.62363121639932728</v>
      </c>
    </row>
    <row r="26" spans="1:28" x14ac:dyDescent="0.2">
      <c r="A26" s="18" t="s">
        <v>8</v>
      </c>
      <c r="B26" s="170">
        <v>0.11899999999999999</v>
      </c>
      <c r="C26" s="172"/>
      <c r="D26" s="170">
        <v>9.8000000000000004E-2</v>
      </c>
      <c r="E26" s="172"/>
      <c r="F26" s="170">
        <v>4.4629597668911863E-2</v>
      </c>
      <c r="G26" s="172"/>
      <c r="H26" s="172">
        <v>2.1999999999999999E-2</v>
      </c>
      <c r="I26" s="172"/>
      <c r="J26" s="172">
        <v>5.6000000000000001E-2</v>
      </c>
      <c r="K26" s="172"/>
      <c r="L26" s="172">
        <v>5.2999999999999999E-2</v>
      </c>
      <c r="M26" s="172"/>
      <c r="N26" s="172">
        <v>5.8999999999999997E-2</v>
      </c>
      <c r="O26" s="171"/>
      <c r="P26" s="170">
        <v>4.7399999999999998E-2</v>
      </c>
      <c r="Q26" s="172"/>
      <c r="R26" s="172">
        <v>0.04</v>
      </c>
      <c r="S26" s="172"/>
      <c r="T26" s="172">
        <v>3.4000000000000002E-2</v>
      </c>
      <c r="U26" s="172"/>
      <c r="V26" s="172">
        <v>-8.0000000000000002E-3</v>
      </c>
      <c r="W26" s="172"/>
      <c r="X26" s="172">
        <v>-6.3039999999999999E-2</v>
      </c>
      <c r="Y26" s="171"/>
      <c r="Z26" s="170">
        <v>-1.49E-3</v>
      </c>
      <c r="AB26" s="172">
        <v>-4.058252771204663E-2</v>
      </c>
    </row>
    <row r="27" spans="1:28" x14ac:dyDescent="0.2">
      <c r="A27" s="18"/>
      <c r="B27" s="170"/>
      <c r="C27" s="172"/>
      <c r="D27" s="170"/>
      <c r="E27" s="172"/>
      <c r="F27" s="170"/>
      <c r="G27" s="172"/>
      <c r="H27" s="172"/>
      <c r="I27" s="172"/>
      <c r="J27" s="172"/>
      <c r="K27" s="172"/>
      <c r="L27" s="172"/>
      <c r="M27" s="172"/>
      <c r="N27" s="172"/>
      <c r="O27" s="171"/>
      <c r="P27" s="170"/>
      <c r="Q27" s="172"/>
      <c r="R27" s="172"/>
      <c r="S27" s="172"/>
      <c r="T27" s="172"/>
      <c r="U27" s="172"/>
      <c r="V27" s="172"/>
      <c r="W27" s="172"/>
      <c r="X27" s="172"/>
      <c r="Y27" s="171"/>
      <c r="Z27" s="170"/>
      <c r="AB27" s="172"/>
    </row>
    <row r="28" spans="1:28" x14ac:dyDescent="0.2">
      <c r="A28" s="5" t="s">
        <v>185</v>
      </c>
      <c r="B28" s="166"/>
      <c r="C28" s="24"/>
      <c r="D28" s="166"/>
      <c r="E28" s="24"/>
      <c r="F28" s="166"/>
      <c r="G28" s="24"/>
      <c r="H28" s="167"/>
      <c r="I28" s="24"/>
      <c r="J28" s="167"/>
      <c r="K28" s="24"/>
      <c r="L28" s="168"/>
      <c r="M28" s="24"/>
      <c r="N28" s="168"/>
      <c r="O28" s="24"/>
      <c r="P28" s="166"/>
      <c r="Q28" s="24"/>
      <c r="R28" s="167"/>
      <c r="S28" s="167"/>
      <c r="T28" s="168"/>
      <c r="U28" s="24"/>
      <c r="V28" s="168"/>
      <c r="W28" s="24"/>
      <c r="X28" s="168"/>
      <c r="Y28" s="24"/>
      <c r="Z28" s="166"/>
      <c r="AB28" s="167"/>
    </row>
    <row r="29" spans="1:28" x14ac:dyDescent="0.2">
      <c r="A29" s="15" t="s">
        <v>182</v>
      </c>
      <c r="B29" s="23">
        <v>1169.556</v>
      </c>
      <c r="C29" s="24"/>
      <c r="D29" s="23">
        <v>1258.163</v>
      </c>
      <c r="E29" s="24"/>
      <c r="F29" s="23">
        <v>1296.576</v>
      </c>
      <c r="G29" s="24"/>
      <c r="H29" s="6">
        <v>324.92500000000001</v>
      </c>
      <c r="I29" s="24"/>
      <c r="J29" s="6">
        <v>328.22500000000002</v>
      </c>
      <c r="K29" s="24"/>
      <c r="L29" s="6">
        <v>336.14400000000001</v>
      </c>
      <c r="M29" s="24"/>
      <c r="N29" s="6">
        <v>362.50600000000003</v>
      </c>
      <c r="O29" s="24"/>
      <c r="P29" s="23">
        <f>SUM(H29,J29,L29,N29)</f>
        <v>1351.8000000000002</v>
      </c>
      <c r="Q29" s="24"/>
      <c r="R29" s="6">
        <v>315.90199999999999</v>
      </c>
      <c r="S29" s="24"/>
      <c r="T29" s="6">
        <v>304.68399999999997</v>
      </c>
      <c r="U29" s="24"/>
      <c r="V29" s="6">
        <v>281.74</v>
      </c>
      <c r="W29" s="24"/>
      <c r="X29" s="6">
        <v>300.05599999999998</v>
      </c>
      <c r="Y29" s="24"/>
      <c r="Z29" s="23">
        <f>SUM(R29,T29,V29,X29)</f>
        <v>1202.3820000000001</v>
      </c>
      <c r="AB29" s="6">
        <v>275.79599999999999</v>
      </c>
    </row>
    <row r="30" spans="1:28" x14ac:dyDescent="0.2">
      <c r="A30" s="16" t="s">
        <v>183</v>
      </c>
      <c r="B30" s="191">
        <v>0</v>
      </c>
      <c r="C30" s="19"/>
      <c r="D30" s="191">
        <v>0</v>
      </c>
      <c r="E30" s="19"/>
      <c r="F30" s="191">
        <v>0</v>
      </c>
      <c r="G30" s="19"/>
      <c r="H30" s="192">
        <v>0</v>
      </c>
      <c r="I30" s="19"/>
      <c r="J30" s="192">
        <v>0.47500000000000003</v>
      </c>
      <c r="K30" s="19"/>
      <c r="L30" s="192">
        <v>0.49</v>
      </c>
      <c r="M30" s="19"/>
      <c r="N30" s="192">
        <v>5.4509999999999996</v>
      </c>
      <c r="O30" s="25"/>
      <c r="P30" s="191">
        <f>SUM(H30,J30,L30,N30)</f>
        <v>6.4159999999999995</v>
      </c>
      <c r="Q30" s="19"/>
      <c r="R30" s="192">
        <v>10.943999999999999</v>
      </c>
      <c r="S30" s="19"/>
      <c r="T30" s="192">
        <v>10.568</v>
      </c>
      <c r="U30" s="19"/>
      <c r="V30" s="192">
        <v>22.16</v>
      </c>
      <c r="W30" s="19"/>
      <c r="X30" s="192">
        <v>13.055</v>
      </c>
      <c r="Y30" s="25"/>
      <c r="Z30" s="191">
        <f>SUM(R30,T30,V30,X30)</f>
        <v>56.726999999999997</v>
      </c>
      <c r="AB30" s="192">
        <v>15.705</v>
      </c>
    </row>
    <row r="31" spans="1:28" x14ac:dyDescent="0.2">
      <c r="A31" s="18" t="s">
        <v>8</v>
      </c>
      <c r="B31" s="23">
        <v>1169.556</v>
      </c>
      <c r="C31" s="21"/>
      <c r="D31" s="23">
        <v>1258.163</v>
      </c>
      <c r="E31" s="21"/>
      <c r="F31" s="23">
        <v>1296.576</v>
      </c>
      <c r="G31" s="21"/>
      <c r="H31" s="6">
        <f>SUM(H29:H30)</f>
        <v>324.92500000000001</v>
      </c>
      <c r="I31" s="21"/>
      <c r="J31" s="6">
        <f>SUM(J29:J30)</f>
        <v>328.70000000000005</v>
      </c>
      <c r="K31" s="21"/>
      <c r="L31" s="6">
        <f>SUM(L29:L30)</f>
        <v>336.63400000000001</v>
      </c>
      <c r="M31" s="21"/>
      <c r="N31" s="6">
        <f>SUM(N29:N30)</f>
        <v>367.95700000000005</v>
      </c>
      <c r="O31" s="24"/>
      <c r="P31" s="23">
        <f>SUM(P29:P30)</f>
        <v>1358.2160000000001</v>
      </c>
      <c r="Q31" s="21"/>
      <c r="R31" s="6">
        <f>SUM(R29:R30)</f>
        <v>326.846</v>
      </c>
      <c r="S31" s="22"/>
      <c r="T31" s="6">
        <f>SUM(T29:T30)</f>
        <v>315.25199999999995</v>
      </c>
      <c r="U31" s="21"/>
      <c r="V31" s="6">
        <f>SUM(V29:V30)</f>
        <v>303.90000000000003</v>
      </c>
      <c r="W31" s="21"/>
      <c r="X31" s="6">
        <f>SUM(X29:X30)</f>
        <v>313.11099999999999</v>
      </c>
      <c r="Y31" s="24"/>
      <c r="Z31" s="23">
        <f>SUM(Z29:Z30)</f>
        <v>1259.1090000000002</v>
      </c>
      <c r="AB31" s="6">
        <f>SUM(AB29:AB30)</f>
        <v>291.50099999999998</v>
      </c>
    </row>
    <row r="32" spans="1:28" x14ac:dyDescent="0.2">
      <c r="A32" s="7"/>
      <c r="B32" s="20"/>
      <c r="C32" s="21"/>
      <c r="D32" s="20"/>
      <c r="E32" s="21"/>
      <c r="F32" s="20"/>
      <c r="G32" s="21"/>
      <c r="H32" s="203"/>
      <c r="I32" s="21"/>
      <c r="J32" s="19"/>
      <c r="K32" s="21"/>
      <c r="L32" s="19"/>
      <c r="M32" s="21"/>
      <c r="N32" s="19"/>
      <c r="O32" s="21"/>
      <c r="P32" s="20"/>
      <c r="Q32" s="21"/>
      <c r="R32" s="19"/>
      <c r="S32" s="21"/>
      <c r="T32" s="19"/>
      <c r="U32" s="21"/>
      <c r="V32" s="19"/>
      <c r="W32" s="21"/>
      <c r="X32" s="19"/>
      <c r="Y32" s="21"/>
      <c r="Z32" s="20"/>
      <c r="AB32" s="19"/>
    </row>
    <row r="33" spans="1:28" x14ac:dyDescent="0.2">
      <c r="A33" s="5" t="s">
        <v>176</v>
      </c>
      <c r="B33" s="166"/>
      <c r="C33" s="24"/>
      <c r="D33" s="166"/>
      <c r="E33" s="24"/>
      <c r="F33" s="166"/>
      <c r="G33" s="24"/>
      <c r="H33" s="167"/>
      <c r="I33" s="24"/>
      <c r="J33" s="167"/>
      <c r="K33" s="24"/>
      <c r="L33" s="168"/>
      <c r="M33" s="24"/>
      <c r="N33" s="168"/>
      <c r="O33" s="24"/>
      <c r="P33" s="166"/>
      <c r="Q33" s="24"/>
      <c r="R33" s="167"/>
      <c r="S33" s="167"/>
      <c r="T33" s="168"/>
      <c r="U33" s="24"/>
      <c r="V33" s="168"/>
      <c r="W33" s="24"/>
      <c r="X33" s="168"/>
      <c r="Y33" s="24"/>
      <c r="Z33" s="166"/>
      <c r="AB33" s="167"/>
    </row>
    <row r="34" spans="1:28" x14ac:dyDescent="0.2">
      <c r="A34" s="15" t="s">
        <v>182</v>
      </c>
      <c r="B34" s="170">
        <v>1</v>
      </c>
      <c r="C34" s="171"/>
      <c r="D34" s="170">
        <v>1</v>
      </c>
      <c r="E34" s="171"/>
      <c r="F34" s="170">
        <v>1</v>
      </c>
      <c r="G34" s="171"/>
      <c r="H34" s="172">
        <f>H29/H$31</f>
        <v>1</v>
      </c>
      <c r="I34" s="171"/>
      <c r="J34" s="172">
        <f>J29/J$31</f>
        <v>0.99855491329479762</v>
      </c>
      <c r="K34" s="171"/>
      <c r="L34" s="172">
        <f>L29/L$31</f>
        <v>0.99854441322029264</v>
      </c>
      <c r="M34" s="171"/>
      <c r="N34" s="172">
        <f>N29/N$31</f>
        <v>0.98518576898931121</v>
      </c>
      <c r="O34" s="171"/>
      <c r="P34" s="170">
        <f>P29/P$31</f>
        <v>0.99527615636982636</v>
      </c>
      <c r="Q34" s="171"/>
      <c r="R34" s="172">
        <f>R29/R$31</f>
        <v>0.96651634102910844</v>
      </c>
      <c r="S34" s="171"/>
      <c r="T34" s="172">
        <f>T29/T$31</f>
        <v>0.96647761156154444</v>
      </c>
      <c r="U34" s="171"/>
      <c r="V34" s="172">
        <f>V29/V$31</f>
        <v>0.92708127673576823</v>
      </c>
      <c r="W34" s="171"/>
      <c r="X34" s="172">
        <f>X29/X$31</f>
        <v>0.95830552104525235</v>
      </c>
      <c r="Y34" s="171"/>
      <c r="Z34" s="170">
        <f>Z29/Z$31</f>
        <v>0.95494671231799622</v>
      </c>
      <c r="AB34" s="172">
        <f>AB29/AB$31</f>
        <v>0.94612368396677893</v>
      </c>
    </row>
    <row r="35" spans="1:28" x14ac:dyDescent="0.2">
      <c r="A35" s="16" t="s">
        <v>183</v>
      </c>
      <c r="B35" s="173">
        <v>0</v>
      </c>
      <c r="C35" s="171"/>
      <c r="D35" s="173">
        <v>0</v>
      </c>
      <c r="E35" s="171"/>
      <c r="F35" s="173">
        <v>0</v>
      </c>
      <c r="G35" s="171"/>
      <c r="H35" s="174">
        <f>H30/H$31</f>
        <v>0</v>
      </c>
      <c r="I35" s="204"/>
      <c r="J35" s="174">
        <f>J30/J$31</f>
        <v>1.4450867052023121E-3</v>
      </c>
      <c r="K35" s="171"/>
      <c r="L35" s="174">
        <f>L30/L$31</f>
        <v>1.4555867797073378E-3</v>
      </c>
      <c r="M35" s="204"/>
      <c r="N35" s="174">
        <f>N30/N$31</f>
        <v>1.4814231010688746E-2</v>
      </c>
      <c r="O35" s="204"/>
      <c r="P35" s="173">
        <f>P30/P$31</f>
        <v>4.7238436301736972E-3</v>
      </c>
      <c r="Q35" s="171"/>
      <c r="R35" s="174">
        <f>R30/R$31</f>
        <v>3.3483658970891485E-2</v>
      </c>
      <c r="S35" s="171"/>
      <c r="T35" s="174">
        <f>T30/T$31</f>
        <v>3.3522388438455591E-2</v>
      </c>
      <c r="U35" s="171"/>
      <c r="V35" s="174">
        <f>V30/V$31</f>
        <v>7.2918723264231641E-2</v>
      </c>
      <c r="W35" s="171"/>
      <c r="X35" s="174">
        <f>X30/X$31</f>
        <v>4.1694478954747677E-2</v>
      </c>
      <c r="Y35" s="171"/>
      <c r="Z35" s="173">
        <f>Z30/Z$31</f>
        <v>4.5053287682003694E-2</v>
      </c>
      <c r="AB35" s="174">
        <f>AB30/AB$31</f>
        <v>5.3876316033221162E-2</v>
      </c>
    </row>
    <row r="36" spans="1:28" x14ac:dyDescent="0.2">
      <c r="A36" s="18" t="s">
        <v>8</v>
      </c>
      <c r="B36" s="170">
        <v>1</v>
      </c>
      <c r="C36" s="172"/>
      <c r="D36" s="170">
        <v>1</v>
      </c>
      <c r="E36" s="172"/>
      <c r="F36" s="170">
        <v>1</v>
      </c>
      <c r="G36" s="172"/>
      <c r="H36" s="172">
        <f>SUM(H34:H35)</f>
        <v>1</v>
      </c>
      <c r="I36" s="172"/>
      <c r="J36" s="172">
        <f>SUM(J34:J35)</f>
        <v>0.99999999999999989</v>
      </c>
      <c r="K36" s="172"/>
      <c r="L36" s="172">
        <f>SUM(L34:L35)</f>
        <v>1</v>
      </c>
      <c r="M36" s="172"/>
      <c r="N36" s="172">
        <f>SUM(N34:N35)</f>
        <v>1</v>
      </c>
      <c r="O36" s="171"/>
      <c r="P36" s="170">
        <f>SUM(P34:P35)</f>
        <v>1</v>
      </c>
      <c r="Q36" s="172"/>
      <c r="R36" s="172">
        <f>SUM(R34:R35)</f>
        <v>0.99999999999999989</v>
      </c>
      <c r="S36" s="172"/>
      <c r="T36" s="172">
        <f>SUM(T34:T35)</f>
        <v>1</v>
      </c>
      <c r="U36" s="172"/>
      <c r="V36" s="172">
        <f>SUM(V34:V35)</f>
        <v>0.99999999999999989</v>
      </c>
      <c r="W36" s="172"/>
      <c r="X36" s="172">
        <f>SUM(X34:X35)</f>
        <v>1</v>
      </c>
      <c r="Y36" s="171"/>
      <c r="Z36" s="170">
        <f>SUM(Z34:Z35)</f>
        <v>0.99999999999999989</v>
      </c>
      <c r="AB36" s="172">
        <f>SUM(AB34:AB35)</f>
        <v>1</v>
      </c>
    </row>
    <row r="37" spans="1:28" x14ac:dyDescent="0.2">
      <c r="A37" s="7"/>
      <c r="B37" s="193"/>
      <c r="C37" s="21"/>
      <c r="D37" s="193"/>
      <c r="E37" s="21"/>
      <c r="F37" s="193"/>
      <c r="G37" s="21"/>
      <c r="H37" s="194"/>
      <c r="I37" s="21"/>
      <c r="J37" s="194"/>
      <c r="K37" s="21"/>
      <c r="L37" s="194"/>
      <c r="M37" s="21"/>
      <c r="N37" s="194"/>
      <c r="O37" s="24"/>
      <c r="P37" s="193"/>
      <c r="Q37" s="21"/>
      <c r="R37" s="194"/>
      <c r="S37" s="195"/>
      <c r="T37" s="194"/>
      <c r="U37" s="21"/>
      <c r="V37" s="194"/>
      <c r="W37" s="21"/>
      <c r="X37" s="194"/>
      <c r="Y37" s="24"/>
      <c r="Z37" s="193"/>
      <c r="AB37" s="194"/>
    </row>
    <row r="38" spans="1:28" x14ac:dyDescent="0.2">
      <c r="A38" s="5" t="s">
        <v>177</v>
      </c>
      <c r="B38" s="166"/>
      <c r="C38" s="24"/>
      <c r="D38" s="166"/>
      <c r="E38" s="24"/>
      <c r="F38" s="166"/>
      <c r="G38" s="24"/>
      <c r="H38" s="167"/>
      <c r="I38" s="24"/>
      <c r="J38" s="167"/>
      <c r="K38" s="24"/>
      <c r="L38" s="168"/>
      <c r="M38" s="24"/>
      <c r="N38" s="168"/>
      <c r="O38" s="24"/>
      <c r="P38" s="166"/>
      <c r="Q38" s="24"/>
      <c r="R38" s="167"/>
      <c r="S38" s="167"/>
      <c r="T38" s="168"/>
      <c r="U38" s="24"/>
      <c r="V38" s="168"/>
      <c r="W38" s="24"/>
      <c r="X38" s="168"/>
      <c r="Y38" s="24"/>
      <c r="Z38" s="166"/>
      <c r="AB38" s="167"/>
    </row>
    <row r="39" spans="1:28" x14ac:dyDescent="0.2">
      <c r="A39" s="15" t="s">
        <v>182</v>
      </c>
      <c r="B39" s="170">
        <v>0.1579212077049803</v>
      </c>
      <c r="C39" s="171"/>
      <c r="D39" s="170">
        <v>7.5761229047604406E-2</v>
      </c>
      <c r="E39" s="171"/>
      <c r="F39" s="170">
        <v>3.0531020225519345E-2</v>
      </c>
      <c r="G39" s="171"/>
      <c r="H39" s="172">
        <v>1.1266553586156469E-2</v>
      </c>
      <c r="I39" s="171"/>
      <c r="J39" s="172">
        <v>4.3282434013121041E-2</v>
      </c>
      <c r="K39" s="171"/>
      <c r="L39" s="172">
        <v>6.532797094421805E-2</v>
      </c>
      <c r="M39" s="171"/>
      <c r="N39" s="172">
        <v>5.0340159707010779E-2</v>
      </c>
      <c r="O39" s="171"/>
      <c r="P39" s="170">
        <f>IFERROR(P29/F29-1,0)</f>
        <v>4.2592181252776751E-2</v>
      </c>
      <c r="Q39" s="171"/>
      <c r="R39" s="172">
        <f>IFERROR(R29/H29-1,0)</f>
        <v>-2.7769485265830673E-2</v>
      </c>
      <c r="S39" s="171"/>
      <c r="T39" s="172">
        <f>IFERROR(T29/J29-1,0)</f>
        <v>-7.1722141823444496E-2</v>
      </c>
      <c r="U39" s="171"/>
      <c r="V39" s="172">
        <f>IFERROR(V29/L29-1,0)</f>
        <v>-0.1618473035365795</v>
      </c>
      <c r="W39" s="171"/>
      <c r="X39" s="172">
        <f>IFERROR(X29/N29-1,0)</f>
        <v>-0.17227301065361689</v>
      </c>
      <c r="Y39" s="171"/>
      <c r="Z39" s="170">
        <f>IFERROR(Z29/P29-1,0)</f>
        <v>-0.11053262316910795</v>
      </c>
      <c r="AB39" s="172">
        <f>IFERROR(AB29/R29-1,0)</f>
        <v>-0.12695709428873514</v>
      </c>
    </row>
    <row r="40" spans="1:28" x14ac:dyDescent="0.2">
      <c r="A40" s="16" t="s">
        <v>183</v>
      </c>
      <c r="B40" s="173">
        <v>0</v>
      </c>
      <c r="C40" s="171"/>
      <c r="D40" s="173">
        <v>0</v>
      </c>
      <c r="E40" s="171"/>
      <c r="F40" s="173">
        <v>0</v>
      </c>
      <c r="G40" s="171"/>
      <c r="H40" s="200" t="s">
        <v>186</v>
      </c>
      <c r="I40" s="201"/>
      <c r="J40" s="200" t="s">
        <v>186</v>
      </c>
      <c r="K40" s="201"/>
      <c r="L40" s="200" t="s">
        <v>186</v>
      </c>
      <c r="M40" s="201"/>
      <c r="N40" s="200" t="s">
        <v>186</v>
      </c>
      <c r="O40" s="201"/>
      <c r="P40" s="202" t="s">
        <v>186</v>
      </c>
      <c r="Q40" s="171"/>
      <c r="R40" s="174">
        <f t="shared" ref="R40:R41" si="7">IFERROR(R30/H30-1,0)</f>
        <v>0</v>
      </c>
      <c r="S40" s="171"/>
      <c r="T40" s="174">
        <f t="shared" ref="T40:T41" si="8">IFERROR(T30/J30-1,0)</f>
        <v>21.248421052631578</v>
      </c>
      <c r="U40" s="171"/>
      <c r="V40" s="174">
        <f t="shared" ref="V40:V41" si="9">IFERROR(V30/L30-1,0)</f>
        <v>44.224489795918366</v>
      </c>
      <c r="W40" s="171"/>
      <c r="X40" s="174">
        <f t="shared" ref="X40:X41" si="10">IFERROR(X30/N30-1,0)</f>
        <v>1.3949733993762612</v>
      </c>
      <c r="Y40" s="171"/>
      <c r="Z40" s="173">
        <f t="shared" ref="Z40:Z41" si="11">IFERROR(Z30/P30-1,0)</f>
        <v>7.8414900249376558</v>
      </c>
      <c r="AB40" s="174">
        <f t="shared" ref="AB40:AB41" si="12">IFERROR(AB30/R30-1,0)</f>
        <v>0.43503289473684226</v>
      </c>
    </row>
    <row r="41" spans="1:28" x14ac:dyDescent="0.2">
      <c r="A41" s="18" t="s">
        <v>8</v>
      </c>
      <c r="B41" s="170">
        <v>0.1579212077049803</v>
      </c>
      <c r="C41" s="172"/>
      <c r="D41" s="170">
        <v>7.5761229047604406E-2</v>
      </c>
      <c r="E41" s="172"/>
      <c r="F41" s="170">
        <v>3.0531020225519345E-2</v>
      </c>
      <c r="G41" s="172"/>
      <c r="H41" s="172">
        <v>1.1266553586156469E-2</v>
      </c>
      <c r="I41" s="172"/>
      <c r="J41" s="172">
        <v>4.4792249402431095E-2</v>
      </c>
      <c r="K41" s="172"/>
      <c r="L41" s="172">
        <v>6.6880908690430063E-2</v>
      </c>
      <c r="M41" s="172"/>
      <c r="N41" s="172">
        <v>6.613411680168757E-2</v>
      </c>
      <c r="O41" s="171"/>
      <c r="P41" s="170">
        <f t="shared" ref="P41" si="13">IFERROR(P31/F31-1,0)</f>
        <v>4.7540599239844106E-2</v>
      </c>
      <c r="Q41" s="172"/>
      <c r="R41" s="172">
        <f t="shared" si="7"/>
        <v>5.9121335692851051E-3</v>
      </c>
      <c r="S41" s="172"/>
      <c r="T41" s="172">
        <f t="shared" si="8"/>
        <v>-4.0912686340128013E-2</v>
      </c>
      <c r="U41" s="172"/>
      <c r="V41" s="172">
        <f t="shared" si="9"/>
        <v>-9.7239138054979524E-2</v>
      </c>
      <c r="W41" s="172"/>
      <c r="X41" s="172">
        <f t="shared" si="10"/>
        <v>-0.14905546028476169</v>
      </c>
      <c r="Y41" s="171"/>
      <c r="Z41" s="170">
        <f t="shared" si="11"/>
        <v>-7.2968511635851718E-2</v>
      </c>
      <c r="AB41" s="172">
        <f t="shared" si="12"/>
        <v>-0.10813961315114773</v>
      </c>
    </row>
    <row r="42" spans="1:28" x14ac:dyDescent="0.2">
      <c r="A42" s="7"/>
      <c r="B42" s="193"/>
      <c r="C42" s="21"/>
      <c r="D42" s="193"/>
      <c r="E42" s="21"/>
      <c r="F42" s="193"/>
      <c r="G42" s="21"/>
      <c r="H42" s="194"/>
      <c r="I42" s="21"/>
      <c r="J42" s="194"/>
      <c r="K42" s="21"/>
      <c r="L42" s="194"/>
      <c r="M42" s="21"/>
      <c r="N42" s="194"/>
      <c r="O42" s="24"/>
      <c r="P42" s="193"/>
      <c r="Q42" s="21"/>
      <c r="R42" s="194"/>
      <c r="S42" s="195"/>
      <c r="T42" s="194"/>
      <c r="U42" s="21"/>
      <c r="V42" s="194"/>
      <c r="W42" s="21"/>
      <c r="X42" s="194"/>
      <c r="Y42" s="24"/>
      <c r="Z42" s="193"/>
      <c r="AB42" s="194"/>
    </row>
    <row r="43" spans="1:28" x14ac:dyDescent="0.2">
      <c r="A43" s="5" t="s">
        <v>178</v>
      </c>
      <c r="B43" s="166"/>
      <c r="C43" s="24"/>
      <c r="D43" s="166"/>
      <c r="E43" s="24"/>
      <c r="F43" s="166"/>
      <c r="G43" s="24"/>
      <c r="H43" s="167"/>
      <c r="I43" s="24"/>
      <c r="J43" s="167"/>
      <c r="K43" s="24"/>
      <c r="L43" s="168"/>
      <c r="M43" s="24"/>
      <c r="N43" s="168"/>
      <c r="O43" s="24"/>
      <c r="P43" s="166"/>
      <c r="Q43" s="24"/>
      <c r="R43" s="167"/>
      <c r="S43" s="167"/>
      <c r="T43" s="168"/>
      <c r="U43" s="24"/>
      <c r="V43" s="168"/>
      <c r="W43" s="24"/>
      <c r="X43" s="168"/>
      <c r="Y43" s="24"/>
      <c r="Z43" s="166"/>
      <c r="AB43" s="167"/>
    </row>
    <row r="44" spans="1:28" x14ac:dyDescent="0.2">
      <c r="A44" s="15" t="s">
        <v>182</v>
      </c>
      <c r="B44" s="170">
        <v>0.121</v>
      </c>
      <c r="C44" s="171"/>
      <c r="D44" s="170">
        <v>9.7000000000000003E-2</v>
      </c>
      <c r="E44" s="171"/>
      <c r="F44" s="170">
        <v>4.4999999999999998E-2</v>
      </c>
      <c r="G44" s="171"/>
      <c r="H44" s="172">
        <v>1.6597752573986529E-2</v>
      </c>
      <c r="I44" s="171"/>
      <c r="J44" s="172">
        <v>5.1942869017674427E-2</v>
      </c>
      <c r="K44" s="171"/>
      <c r="L44" s="172">
        <v>5.0000215871218452E-2</v>
      </c>
      <c r="M44" s="171"/>
      <c r="N44" s="172">
        <v>4.5526939864805445E-2</v>
      </c>
      <c r="O44" s="171"/>
      <c r="P44" s="170">
        <v>4.1003373830741943E-2</v>
      </c>
      <c r="Q44" s="171"/>
      <c r="R44" s="172">
        <v>9.9995037270494639E-3</v>
      </c>
      <c r="S44" s="171"/>
      <c r="T44" s="172">
        <v>5.9079079236590247E-3</v>
      </c>
      <c r="U44" s="171"/>
      <c r="V44" s="172">
        <v>-7.1089247514577375E-2</v>
      </c>
      <c r="W44" s="171"/>
      <c r="X44" s="172">
        <v>-8.7444291453607978E-2</v>
      </c>
      <c r="Y44" s="171"/>
      <c r="Z44" s="170">
        <v>-3.7288873461662847E-2</v>
      </c>
      <c r="AB44" s="199">
        <v>-6.0641667028288958E-2</v>
      </c>
    </row>
    <row r="45" spans="1:28" x14ac:dyDescent="0.2">
      <c r="A45" s="16" t="s">
        <v>183</v>
      </c>
      <c r="B45" s="173">
        <v>0</v>
      </c>
      <c r="C45" s="171"/>
      <c r="D45" s="173">
        <v>0</v>
      </c>
      <c r="E45" s="171"/>
      <c r="F45" s="173">
        <v>0</v>
      </c>
      <c r="G45" s="171"/>
      <c r="H45" s="200" t="s">
        <v>186</v>
      </c>
      <c r="I45" s="201"/>
      <c r="J45" s="200" t="s">
        <v>186</v>
      </c>
      <c r="K45" s="201"/>
      <c r="L45" s="200" t="s">
        <v>186</v>
      </c>
      <c r="M45" s="201"/>
      <c r="N45" s="200" t="s">
        <v>186</v>
      </c>
      <c r="O45" s="201"/>
      <c r="P45" s="202" t="s">
        <v>186</v>
      </c>
      <c r="Q45" s="201"/>
      <c r="R45" s="200" t="s">
        <v>184</v>
      </c>
      <c r="S45" s="171"/>
      <c r="T45" s="174">
        <v>21.547999999999998</v>
      </c>
      <c r="U45" s="171"/>
      <c r="V45" s="174">
        <v>44.713999999999999</v>
      </c>
      <c r="W45" s="201"/>
      <c r="X45" s="200">
        <v>1.44495</v>
      </c>
      <c r="Y45" s="201"/>
      <c r="Z45" s="202">
        <v>7.9486699999999999</v>
      </c>
      <c r="AB45" s="200">
        <v>0.46073847479355956</v>
      </c>
    </row>
    <row r="46" spans="1:28" x14ac:dyDescent="0.2">
      <c r="A46" s="18" t="s">
        <v>8</v>
      </c>
      <c r="B46" s="170">
        <v>0.121</v>
      </c>
      <c r="C46" s="172"/>
      <c r="D46" s="170">
        <v>9.7000000000000003E-2</v>
      </c>
      <c r="E46" s="172"/>
      <c r="F46" s="170">
        <v>4.4999999999999998E-2</v>
      </c>
      <c r="G46" s="172"/>
      <c r="H46" s="172">
        <v>1.6597752573986529E-2</v>
      </c>
      <c r="I46" s="172"/>
      <c r="J46" s="172">
        <v>5.3452015910268186E-2</v>
      </c>
      <c r="K46" s="172"/>
      <c r="L46" s="172">
        <v>5.1551666995141861E-2</v>
      </c>
      <c r="M46" s="172"/>
      <c r="N46" s="172">
        <v>6.1323321588785847E-2</v>
      </c>
      <c r="O46" s="171"/>
      <c r="P46" s="170">
        <v>4.5999999999999999E-2</v>
      </c>
      <c r="Q46" s="172"/>
      <c r="R46" s="172">
        <v>4.3999999999999997E-2</v>
      </c>
      <c r="S46" s="172"/>
      <c r="T46" s="172">
        <v>3.6999999999999998E-2</v>
      </c>
      <c r="U46" s="172"/>
      <c r="V46" s="172">
        <v>-6.0000000000000001E-3</v>
      </c>
      <c r="W46" s="172"/>
      <c r="X46" s="172">
        <v>-6.4740000000000006E-2</v>
      </c>
      <c r="Y46" s="171"/>
      <c r="Z46" s="170">
        <v>4.2999999999999999E-4</v>
      </c>
      <c r="AB46" s="172">
        <v>-4.58E-2</v>
      </c>
    </row>
    <row r="47" spans="1:28" x14ac:dyDescent="0.2">
      <c r="A47" s="14"/>
      <c r="B47" s="166"/>
      <c r="C47" s="24"/>
      <c r="D47" s="166"/>
      <c r="E47" s="24"/>
      <c r="F47" s="166"/>
      <c r="G47" s="24"/>
      <c r="H47" s="167"/>
      <c r="I47" s="24"/>
      <c r="J47" s="167"/>
      <c r="K47" s="24"/>
      <c r="L47" s="168"/>
      <c r="M47" s="24"/>
      <c r="N47" s="168"/>
      <c r="O47" s="24"/>
      <c r="P47" s="166"/>
      <c r="Q47" s="24"/>
      <c r="R47" s="167"/>
      <c r="S47" s="167"/>
      <c r="T47" s="168"/>
      <c r="U47" s="24"/>
      <c r="V47" s="168"/>
      <c r="W47" s="24"/>
      <c r="X47" s="168"/>
      <c r="Y47" s="24"/>
      <c r="Z47" s="166"/>
      <c r="AB47" s="167"/>
    </row>
    <row r="48" spans="1:28" x14ac:dyDescent="0.2">
      <c r="A48" s="5" t="s">
        <v>187</v>
      </c>
      <c r="B48" s="166"/>
      <c r="C48" s="24"/>
      <c r="D48" s="166"/>
      <c r="E48" s="24"/>
      <c r="F48" s="166"/>
      <c r="G48" s="24"/>
      <c r="H48" s="167"/>
      <c r="I48" s="24"/>
      <c r="J48" s="167"/>
      <c r="K48" s="24"/>
      <c r="L48" s="167"/>
      <c r="M48" s="24"/>
      <c r="N48" s="167"/>
      <c r="O48" s="24"/>
      <c r="P48" s="166"/>
      <c r="Q48" s="24"/>
      <c r="R48" s="167"/>
      <c r="S48" s="24"/>
      <c r="T48" s="167"/>
      <c r="U48" s="24"/>
      <c r="V48" s="167"/>
      <c r="W48" s="24"/>
      <c r="X48" s="167"/>
      <c r="Y48" s="24"/>
      <c r="Z48" s="166"/>
      <c r="AB48" s="167"/>
    </row>
    <row r="49" spans="1:28" x14ac:dyDescent="0.2">
      <c r="A49" s="15" t="s">
        <v>182</v>
      </c>
      <c r="B49" s="23">
        <v>2.6059999999999945</v>
      </c>
      <c r="C49" s="205"/>
      <c r="D49" s="23">
        <v>2.4849999999999568</v>
      </c>
      <c r="E49" s="205"/>
      <c r="F49" s="23">
        <v>3.0339999999999918</v>
      </c>
      <c r="G49" s="205"/>
      <c r="H49" s="6">
        <f>H29-H9</f>
        <v>0</v>
      </c>
      <c r="I49" s="6"/>
      <c r="J49" s="6">
        <f>J29-J9</f>
        <v>0</v>
      </c>
      <c r="K49" s="6"/>
      <c r="L49" s="6">
        <f>L29-L9</f>
        <v>0</v>
      </c>
      <c r="M49" s="6"/>
      <c r="N49" s="6">
        <f>N29-N9</f>
        <v>0</v>
      </c>
      <c r="O49" s="6"/>
      <c r="P49" s="23">
        <f>SUM(H49,J49,L49,N49)</f>
        <v>0</v>
      </c>
      <c r="Q49" s="205"/>
      <c r="R49" s="6">
        <f>R29-R9</f>
        <v>1.0000000000331966E-3</v>
      </c>
      <c r="S49" s="6"/>
      <c r="T49" s="6">
        <f>T29-T9</f>
        <v>0</v>
      </c>
      <c r="U49" s="6"/>
      <c r="V49" s="6">
        <f>V29-V9</f>
        <v>0</v>
      </c>
      <c r="W49" s="6"/>
      <c r="X49" s="6">
        <f>X29-X9</f>
        <v>0</v>
      </c>
      <c r="Y49" s="6"/>
      <c r="Z49" s="23">
        <f>SUM(R49,T49,V49,X49)</f>
        <v>1.0000000000331966E-3</v>
      </c>
      <c r="AB49" s="6">
        <f>AB29-AB9</f>
        <v>0</v>
      </c>
    </row>
    <row r="50" spans="1:28" x14ac:dyDescent="0.2">
      <c r="A50" s="16" t="s">
        <v>183</v>
      </c>
      <c r="B50" s="206">
        <v>0</v>
      </c>
      <c r="C50" s="45"/>
      <c r="D50" s="206">
        <v>0</v>
      </c>
      <c r="E50" s="45"/>
      <c r="F50" s="206">
        <v>0</v>
      </c>
      <c r="G50" s="45"/>
      <c r="H50" s="207">
        <f>H30-H10</f>
        <v>0</v>
      </c>
      <c r="I50" s="208"/>
      <c r="J50" s="207">
        <f>J30-J10</f>
        <v>0</v>
      </c>
      <c r="K50" s="208"/>
      <c r="L50" s="207">
        <f>L30-L10</f>
        <v>0</v>
      </c>
      <c r="M50" s="208"/>
      <c r="N50" s="207">
        <f>N30-N10</f>
        <v>1.2489999999999997</v>
      </c>
      <c r="O50" s="208"/>
      <c r="P50" s="209">
        <f>SUM(H50,J50,L50,N50)</f>
        <v>1.2489999999999997</v>
      </c>
      <c r="Q50" s="45"/>
      <c r="R50" s="41">
        <f>R30-R10</f>
        <v>1.4029999999999987</v>
      </c>
      <c r="S50" s="45"/>
      <c r="T50" s="41">
        <f>T30-T10</f>
        <v>1.1329999999999991</v>
      </c>
      <c r="U50" s="45"/>
      <c r="V50" s="41">
        <f>V30-V10</f>
        <v>0.78699999999999903</v>
      </c>
      <c r="W50" s="45"/>
      <c r="X50" s="41">
        <f>X30-X10</f>
        <v>0.54599999999999937</v>
      </c>
      <c r="Y50" s="45"/>
      <c r="Z50" s="206">
        <f>SUM(R50,T50,V50,X50)</f>
        <v>3.8689999999999962</v>
      </c>
      <c r="AB50" s="41">
        <f>AB30-AB10</f>
        <v>0.49699999999999989</v>
      </c>
    </row>
    <row r="51" spans="1:28" x14ac:dyDescent="0.2">
      <c r="A51" s="18" t="s">
        <v>8</v>
      </c>
      <c r="B51" s="23">
        <v>2.6059999999999945</v>
      </c>
      <c r="C51" s="6"/>
      <c r="D51" s="23">
        <v>2.4849999999999568</v>
      </c>
      <c r="E51" s="6"/>
      <c r="F51" s="23">
        <v>3.0339999999999918</v>
      </c>
      <c r="G51" s="6"/>
      <c r="H51" s="6">
        <f>SUM(H49:H50)</f>
        <v>0</v>
      </c>
      <c r="I51" s="6"/>
      <c r="J51" s="6">
        <f>SUM(J49:J50)</f>
        <v>0</v>
      </c>
      <c r="K51" s="6"/>
      <c r="L51" s="6">
        <f>SUM(L49:L50)</f>
        <v>0</v>
      </c>
      <c r="M51" s="6"/>
      <c r="N51" s="6">
        <f>SUM(N49:N50)</f>
        <v>1.2489999999999997</v>
      </c>
      <c r="O51" s="6"/>
      <c r="P51" s="23">
        <f>SUM(P49:P50)</f>
        <v>1.2489999999999997</v>
      </c>
      <c r="Q51" s="6"/>
      <c r="R51" s="6">
        <f>SUM(R49:R50)</f>
        <v>1.4040000000000319</v>
      </c>
      <c r="S51" s="6"/>
      <c r="T51" s="6">
        <f>SUM(T49:T50)</f>
        <v>1.1329999999999991</v>
      </c>
      <c r="U51" s="6"/>
      <c r="V51" s="6">
        <f>SUM(V49:V50)</f>
        <v>0.78699999999999903</v>
      </c>
      <c r="W51" s="6"/>
      <c r="X51" s="6">
        <f>SUM(X49:X50)</f>
        <v>0.54599999999999937</v>
      </c>
      <c r="Y51" s="6"/>
      <c r="Z51" s="23">
        <f>SUM(Z49:Z50)</f>
        <v>3.8700000000000294</v>
      </c>
      <c r="AB51" s="6">
        <f>SUM(AB49:AB50)</f>
        <v>0.49699999999999989</v>
      </c>
    </row>
    <row r="52" spans="1:28" x14ac:dyDescent="0.2">
      <c r="A52" s="7"/>
      <c r="B52" s="20"/>
      <c r="C52" s="21"/>
      <c r="D52" s="20"/>
      <c r="E52" s="21"/>
      <c r="F52" s="20"/>
      <c r="G52" s="21"/>
      <c r="H52" s="19"/>
      <c r="I52" s="21"/>
      <c r="J52" s="19"/>
      <c r="K52" s="21"/>
      <c r="L52" s="19"/>
      <c r="M52" s="21"/>
      <c r="N52" s="19"/>
      <c r="O52" s="24"/>
      <c r="P52" s="20"/>
      <c r="Q52" s="21"/>
      <c r="R52" s="19"/>
      <c r="S52" s="19"/>
      <c r="T52" s="19"/>
      <c r="U52" s="21"/>
      <c r="V52" s="19"/>
      <c r="W52" s="21"/>
      <c r="X52" s="19"/>
      <c r="Y52" s="24"/>
      <c r="Z52" s="20"/>
      <c r="AB52" s="19"/>
    </row>
    <row r="53" spans="1:28" ht="13.5" thickBot="1" x14ac:dyDescent="0.25">
      <c r="A53" s="8"/>
      <c r="B53" s="183"/>
      <c r="C53" s="3"/>
      <c r="D53" s="183"/>
      <c r="E53" s="3"/>
      <c r="F53" s="183"/>
      <c r="G53" s="3"/>
      <c r="H53" s="184"/>
      <c r="I53" s="3"/>
      <c r="J53" s="184"/>
      <c r="K53" s="3"/>
      <c r="L53" s="184"/>
      <c r="M53" s="3"/>
      <c r="N53" s="184"/>
      <c r="O53" s="3"/>
      <c r="P53" s="183"/>
      <c r="Q53" s="3"/>
      <c r="R53" s="184"/>
      <c r="S53" s="184"/>
      <c r="T53" s="3"/>
      <c r="U53" s="3"/>
      <c r="V53" s="184"/>
      <c r="W53" s="3"/>
      <c r="X53" s="184"/>
      <c r="Y53" s="3"/>
      <c r="Z53" s="183"/>
      <c r="AB53" s="184"/>
    </row>
  </sheetData>
  <mergeCells count="4">
    <mergeCell ref="H3:P3"/>
    <mergeCell ref="R3:Z3"/>
    <mergeCell ref="H5:N5"/>
    <mergeCell ref="R5:X5"/>
  </mergeCells>
  <printOptions horizontalCentered="1"/>
  <pageMargins left="0.16" right="0.16" top="0.6" bottom="0.43" header="0.3" footer="0.3"/>
  <pageSetup scale="53" orientation="landscape" r:id="rId1"/>
  <headerFooter alignWithMargins="0">
    <oddHeader>&amp;L&amp;G</oddHeader>
    <oddFooter>&amp;C&amp;8PTC Investor Relations
Tel: (781) 370 6359</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Y60"/>
  <sheetViews>
    <sheetView zoomScale="85" zoomScaleNormal="85" workbookViewId="0">
      <pane xSplit="1" ySplit="6" topLeftCell="B7" activePane="bottomRight" state="frozen"/>
      <selection activeCell="AD36" sqref="AD36"/>
      <selection pane="topRight" activeCell="AD36" sqref="AD36"/>
      <selection pane="bottomLeft" activeCell="AD36" sqref="AD36"/>
      <selection pane="bottomRight" activeCell="A3" sqref="A3"/>
    </sheetView>
  </sheetViews>
  <sheetFormatPr defaultColWidth="9.140625" defaultRowHeight="12.75" x14ac:dyDescent="0.2"/>
  <cols>
    <col min="1" max="1" width="59.5703125" style="1" customWidth="1"/>
    <col min="2" max="2" width="10.7109375" style="1" customWidth="1"/>
    <col min="3" max="3" width="1.140625" style="1" customWidth="1"/>
    <col min="4" max="4" width="10.7109375" style="185" customWidth="1"/>
    <col min="5" max="5" width="1.140625" style="1" customWidth="1"/>
    <col min="6" max="6" width="10.7109375" style="1" customWidth="1"/>
    <col min="7" max="7" width="1.140625" style="1" customWidth="1"/>
    <col min="8" max="8" width="10.7109375" style="1" customWidth="1"/>
    <col min="9" max="9" width="1.140625" style="186" customWidth="1"/>
    <col min="10" max="10" width="10.7109375" style="1" customWidth="1"/>
    <col min="11" max="11" width="1.140625" style="1" customWidth="1"/>
    <col min="12" max="12" width="9.5703125" style="1" bestFit="1" customWidth="1"/>
    <col min="13" max="13" width="1.140625" style="1" customWidth="1"/>
    <col min="14" max="14" width="9.5703125" style="1" bestFit="1" customWidth="1"/>
    <col min="15" max="15" width="1.140625" style="1" customWidth="1"/>
    <col min="16" max="16" width="10.7109375" style="1" customWidth="1"/>
    <col min="17" max="17" width="1.140625" style="1" customWidth="1"/>
    <col min="18" max="18" width="10.7109375" style="1" customWidth="1"/>
    <col min="19" max="19" width="1.140625" style="186" customWidth="1"/>
    <col min="20" max="20" width="10.7109375" style="1" customWidth="1"/>
    <col min="21" max="21" width="1.140625" style="1" customWidth="1"/>
    <col min="22" max="26" width="9.140625" style="1"/>
    <col min="27" max="27" width="11.5703125" style="1" bestFit="1" customWidth="1"/>
    <col min="28" max="16384" width="9.140625" style="1"/>
  </cols>
  <sheetData>
    <row r="1" spans="1:25" ht="12.75" customHeight="1" x14ac:dyDescent="0.2">
      <c r="A1" s="17" t="s">
        <v>188</v>
      </c>
      <c r="B1" s="4"/>
      <c r="C1" s="4"/>
      <c r="D1" s="4"/>
      <c r="E1" s="4"/>
      <c r="F1" s="4"/>
      <c r="G1" s="4"/>
      <c r="H1" s="4"/>
      <c r="I1" s="4"/>
      <c r="J1" s="4"/>
      <c r="K1" s="4"/>
      <c r="L1" s="4"/>
      <c r="M1" s="4"/>
      <c r="N1" s="4"/>
      <c r="O1" s="4"/>
      <c r="P1" s="4"/>
      <c r="Q1" s="4"/>
      <c r="R1" s="4"/>
      <c r="S1" s="4"/>
      <c r="T1" s="4"/>
    </row>
    <row r="2" spans="1:25" ht="12.75" customHeight="1" thickBot="1" x14ac:dyDescent="0.25">
      <c r="D2" s="1"/>
      <c r="I2" s="1"/>
      <c r="S2" s="1"/>
    </row>
    <row r="3" spans="1:25" s="3" customFormat="1" ht="12.75" customHeight="1" thickBot="1" x14ac:dyDescent="0.25">
      <c r="B3" s="262" t="s">
        <v>3</v>
      </c>
      <c r="C3" s="263"/>
      <c r="D3" s="263"/>
      <c r="E3" s="263"/>
      <c r="F3" s="263"/>
      <c r="G3" s="263"/>
      <c r="H3" s="263"/>
      <c r="I3" s="263"/>
      <c r="J3" s="264"/>
      <c r="L3" s="262" t="s">
        <v>2</v>
      </c>
      <c r="M3" s="263"/>
      <c r="N3" s="263"/>
      <c r="O3" s="263"/>
      <c r="P3" s="263"/>
      <c r="Q3" s="263"/>
      <c r="R3" s="263"/>
      <c r="S3" s="263"/>
      <c r="T3" s="264"/>
      <c r="V3" s="27" t="s">
        <v>149</v>
      </c>
    </row>
    <row r="4" spans="1:25" s="3" customFormat="1" ht="12.75" customHeight="1" thickBot="1" x14ac:dyDescent="0.25"/>
    <row r="5" spans="1:25" s="3" customFormat="1" ht="12.75" customHeight="1" x14ac:dyDescent="0.2">
      <c r="B5" s="265" t="s">
        <v>0</v>
      </c>
      <c r="C5" s="265"/>
      <c r="D5" s="265"/>
      <c r="E5" s="265"/>
      <c r="F5" s="265"/>
      <c r="G5" s="265"/>
      <c r="H5" s="265"/>
      <c r="J5" s="10" t="s">
        <v>1</v>
      </c>
      <c r="L5" s="265" t="s">
        <v>0</v>
      </c>
      <c r="M5" s="265"/>
      <c r="N5" s="265"/>
      <c r="O5" s="265"/>
      <c r="P5" s="265"/>
      <c r="Q5" s="265"/>
      <c r="R5" s="265"/>
      <c r="T5" s="10" t="s">
        <v>1</v>
      </c>
      <c r="V5" s="162" t="s">
        <v>150</v>
      </c>
    </row>
    <row r="6" spans="1:25" s="2" customFormat="1" ht="12.75" customHeight="1" x14ac:dyDescent="0.2">
      <c r="A6" s="5"/>
      <c r="B6" s="11">
        <v>41636</v>
      </c>
      <c r="D6" s="11">
        <v>41727</v>
      </c>
      <c r="F6" s="11">
        <v>41818</v>
      </c>
      <c r="H6" s="11">
        <v>41912</v>
      </c>
      <c r="J6" s="12">
        <v>41912</v>
      </c>
      <c r="L6" s="11">
        <v>42007</v>
      </c>
      <c r="M6" s="13"/>
      <c r="N6" s="11">
        <v>42098</v>
      </c>
      <c r="P6" s="11">
        <v>42189</v>
      </c>
      <c r="R6" s="11">
        <v>41912</v>
      </c>
      <c r="T6" s="12">
        <v>41912</v>
      </c>
      <c r="V6" s="11">
        <v>42371</v>
      </c>
    </row>
    <row r="7" spans="1:25" s="169" customFormat="1" ht="12.75" customHeight="1" x14ac:dyDescent="0.2">
      <c r="A7" s="14" t="s">
        <v>7</v>
      </c>
      <c r="B7" s="210"/>
      <c r="D7" s="210"/>
      <c r="F7" s="211"/>
      <c r="H7" s="211"/>
      <c r="J7" s="212"/>
      <c r="L7" s="210"/>
      <c r="M7" s="210"/>
      <c r="N7" s="211"/>
      <c r="P7" s="211"/>
      <c r="R7" s="211"/>
      <c r="T7" s="212"/>
      <c r="V7" s="210"/>
    </row>
    <row r="8" spans="1:25" s="169" customFormat="1" ht="12.75" customHeight="1" x14ac:dyDescent="0.2">
      <c r="A8" s="5" t="s">
        <v>189</v>
      </c>
      <c r="B8" s="213"/>
      <c r="C8" s="204"/>
      <c r="D8" s="213"/>
      <c r="E8" s="204"/>
      <c r="F8" s="213"/>
      <c r="G8" s="204"/>
      <c r="H8" s="213"/>
      <c r="I8" s="204"/>
      <c r="J8" s="214"/>
      <c r="K8" s="204"/>
      <c r="L8" s="213"/>
      <c r="M8" s="204"/>
      <c r="N8" s="213"/>
      <c r="O8" s="204"/>
      <c r="P8" s="213"/>
      <c r="Q8" s="204"/>
      <c r="R8" s="213"/>
      <c r="S8" s="204"/>
      <c r="T8" s="214"/>
      <c r="V8" s="213"/>
    </row>
    <row r="9" spans="1:25" s="169" customFormat="1" ht="12.75" customHeight="1" x14ac:dyDescent="0.2">
      <c r="A9" s="15" t="s">
        <v>190</v>
      </c>
      <c r="B9" s="6">
        <v>79.540000000000006</v>
      </c>
      <c r="C9" s="204"/>
      <c r="D9" s="6">
        <v>88.378</v>
      </c>
      <c r="E9" s="204"/>
      <c r="F9" s="6">
        <v>113.94199999999999</v>
      </c>
      <c r="G9" s="204"/>
      <c r="H9" s="6">
        <v>112.776</v>
      </c>
      <c r="I9" s="204"/>
      <c r="J9" s="23">
        <f t="shared" ref="J9" si="0">SUM(B9,D9,F9,H9)</f>
        <v>394.63600000000002</v>
      </c>
      <c r="K9" s="204"/>
      <c r="L9" s="6">
        <v>79.593999999999994</v>
      </c>
      <c r="M9" s="204"/>
      <c r="N9" s="6">
        <v>81.238</v>
      </c>
      <c r="O9" s="204"/>
      <c r="P9" s="6">
        <v>79.385999999999996</v>
      </c>
      <c r="Q9" s="204"/>
      <c r="R9" s="6">
        <v>105.548</v>
      </c>
      <c r="S9" s="204"/>
      <c r="T9" s="23">
        <f t="shared" ref="T9" si="1">SUM(L9,N9,P9,R9)</f>
        <v>345.76599999999996</v>
      </c>
      <c r="V9" s="6">
        <v>68.719800000000006</v>
      </c>
    </row>
    <row r="10" spans="1:25" s="169" customFormat="1" ht="12.75" customHeight="1" x14ac:dyDescent="0.2">
      <c r="A10" s="15" t="s">
        <v>191</v>
      </c>
      <c r="B10" s="21">
        <v>0.17399999999999999</v>
      </c>
      <c r="C10" s="21"/>
      <c r="D10" s="21">
        <v>1.7130000000000001</v>
      </c>
      <c r="E10" s="21"/>
      <c r="F10" s="21">
        <v>11.772</v>
      </c>
      <c r="G10" s="21"/>
      <c r="H10" s="21">
        <v>2.214</v>
      </c>
      <c r="I10" s="21"/>
      <c r="J10" s="20">
        <f>SUM(B10,D10,F10,H10)</f>
        <v>15.873000000000001</v>
      </c>
      <c r="K10" s="3"/>
      <c r="L10" s="21">
        <v>7.423</v>
      </c>
      <c r="M10" s="21"/>
      <c r="N10" s="21">
        <v>5.5250000000000004</v>
      </c>
      <c r="O10" s="21"/>
      <c r="P10" s="21">
        <v>6.3070000000000004</v>
      </c>
      <c r="Q10" s="21"/>
      <c r="R10" s="21">
        <v>10.699</v>
      </c>
      <c r="S10" s="21"/>
      <c r="T10" s="20">
        <f>SUM(L10,N10,P10,R10)</f>
        <v>29.954000000000001</v>
      </c>
      <c r="V10" s="6">
        <v>10.584</v>
      </c>
    </row>
    <row r="11" spans="1:25" s="169" customFormat="1" ht="12.75" customHeight="1" x14ac:dyDescent="0.2">
      <c r="A11" s="15" t="s">
        <v>192</v>
      </c>
      <c r="B11" s="215">
        <f>(B10*2)/B9</f>
        <v>4.3751571536333918E-3</v>
      </c>
      <c r="C11" s="213"/>
      <c r="D11" s="215">
        <f>(D10*2)/D9</f>
        <v>3.8765303582339497E-2</v>
      </c>
      <c r="E11" s="213"/>
      <c r="F11" s="215">
        <f>(F10*2)/F9</f>
        <v>0.20663144406803463</v>
      </c>
      <c r="G11" s="213"/>
      <c r="H11" s="215">
        <f>(H10*2)/H9</f>
        <v>3.9263673121940838E-2</v>
      </c>
      <c r="I11" s="204"/>
      <c r="J11" s="216">
        <f>(J10*2)/J9</f>
        <v>8.0443750696844687E-2</v>
      </c>
      <c r="K11" s="213"/>
      <c r="L11" s="215">
        <f>(L10*2)/L9</f>
        <v>0.18652159710530947</v>
      </c>
      <c r="M11" s="213"/>
      <c r="N11" s="215">
        <f>(N10*2)/N9</f>
        <v>0.13602008912085478</v>
      </c>
      <c r="O11" s="213"/>
      <c r="P11" s="215">
        <f>(P10*2)/P9</f>
        <v>0.15889451540573907</v>
      </c>
      <c r="Q11" s="213"/>
      <c r="R11" s="215">
        <f>(R10*2)/R9</f>
        <v>0.20273240610906884</v>
      </c>
      <c r="S11" s="204"/>
      <c r="T11" s="216">
        <f>(T10*2)/T9</f>
        <v>0.17326168564867572</v>
      </c>
      <c r="U11" s="175"/>
      <c r="V11" s="215">
        <v>0.27700000000000002</v>
      </c>
      <c r="Y11" s="175"/>
    </row>
    <row r="12" spans="1:25" ht="12.75" customHeight="1" x14ac:dyDescent="0.2">
      <c r="A12" s="15"/>
      <c r="B12" s="175"/>
      <c r="D12" s="175"/>
      <c r="F12" s="175"/>
      <c r="H12" s="175"/>
      <c r="I12" s="1"/>
      <c r="J12" s="217"/>
      <c r="L12" s="175"/>
      <c r="M12" s="218"/>
      <c r="N12" s="175"/>
      <c r="P12" s="175"/>
      <c r="R12" s="175"/>
      <c r="S12" s="1"/>
      <c r="T12" s="217"/>
      <c r="V12" s="175"/>
    </row>
    <row r="13" spans="1:25" s="169" customFormat="1" ht="12.75" customHeight="1" x14ac:dyDescent="0.2">
      <c r="A13" s="5" t="s">
        <v>193</v>
      </c>
      <c r="B13" s="210"/>
      <c r="D13" s="210"/>
      <c r="F13" s="211"/>
      <c r="H13" s="211"/>
      <c r="J13" s="212"/>
      <c r="L13" s="210"/>
      <c r="M13" s="210"/>
      <c r="N13" s="211"/>
      <c r="P13" s="211"/>
      <c r="R13" s="211"/>
      <c r="T13" s="212"/>
      <c r="V13" s="210"/>
    </row>
    <row r="14" spans="1:25" s="169" customFormat="1" ht="12.75" customHeight="1" x14ac:dyDescent="0.2">
      <c r="A14" s="15" t="s">
        <v>168</v>
      </c>
      <c r="B14" s="213">
        <v>0.02</v>
      </c>
      <c r="C14" s="204"/>
      <c r="D14" s="213">
        <v>0.61</v>
      </c>
      <c r="E14" s="204"/>
      <c r="F14" s="213">
        <v>-0.06</v>
      </c>
      <c r="G14" s="204"/>
      <c r="H14" s="213">
        <v>0.15816</v>
      </c>
      <c r="I14" s="204"/>
      <c r="J14" s="214">
        <v>0.14000000000000001</v>
      </c>
      <c r="K14" s="204"/>
      <c r="L14" s="213">
        <v>-0.06</v>
      </c>
      <c r="M14" s="204"/>
      <c r="N14" s="213">
        <v>-0.16</v>
      </c>
      <c r="O14" s="204"/>
      <c r="P14" s="213">
        <v>0.09</v>
      </c>
      <c r="Q14" s="204"/>
      <c r="R14" s="213">
        <v>-0.17371</v>
      </c>
      <c r="S14" s="204"/>
      <c r="T14" s="214">
        <v>-8.8599999999999998E-2</v>
      </c>
      <c r="V14" s="213">
        <v>-0.17182630859062947</v>
      </c>
    </row>
    <row r="15" spans="1:25" s="169" customFormat="1" ht="12.75" customHeight="1" x14ac:dyDescent="0.2">
      <c r="A15" s="16" t="s">
        <v>169</v>
      </c>
      <c r="B15" s="213">
        <v>0.15</v>
      </c>
      <c r="C15" s="204"/>
      <c r="D15" s="213">
        <v>0.27</v>
      </c>
      <c r="E15" s="204"/>
      <c r="F15" s="213">
        <v>1.35</v>
      </c>
      <c r="G15" s="204"/>
      <c r="H15" s="213">
        <v>0.25</v>
      </c>
      <c r="I15" s="204"/>
      <c r="J15" s="214">
        <v>0.46</v>
      </c>
      <c r="K15" s="204"/>
      <c r="L15" s="213">
        <v>-0.01</v>
      </c>
      <c r="M15" s="204"/>
      <c r="N15" s="213">
        <v>-0.33</v>
      </c>
      <c r="O15" s="204"/>
      <c r="P15" s="213">
        <v>-0.45</v>
      </c>
      <c r="Q15" s="204"/>
      <c r="R15" s="213">
        <v>-1.4579999999999999E-2</v>
      </c>
      <c r="S15" s="204"/>
      <c r="T15" s="214">
        <v>-0.22542999999999999</v>
      </c>
      <c r="V15" s="213">
        <v>-0.17942051102879886</v>
      </c>
    </row>
    <row r="16" spans="1:25" s="169" customFormat="1" ht="12.75" customHeight="1" x14ac:dyDescent="0.2">
      <c r="A16" s="16" t="s">
        <v>170</v>
      </c>
      <c r="B16" s="213">
        <v>-7.0000000000000007E-2</v>
      </c>
      <c r="C16" s="204"/>
      <c r="D16" s="213">
        <v>-0.5</v>
      </c>
      <c r="E16" s="204"/>
      <c r="F16" s="213">
        <v>0.49</v>
      </c>
      <c r="G16" s="204"/>
      <c r="H16" s="213">
        <v>0.02</v>
      </c>
      <c r="I16" s="204"/>
      <c r="J16" s="214">
        <v>-0.03</v>
      </c>
      <c r="K16" s="204"/>
      <c r="L16" s="213">
        <v>0.1</v>
      </c>
      <c r="M16" s="204"/>
      <c r="N16" s="213">
        <v>1.42</v>
      </c>
      <c r="O16" s="204"/>
      <c r="P16" s="213">
        <v>-0.65</v>
      </c>
      <c r="Q16" s="204"/>
      <c r="R16" s="213">
        <v>0.27803</v>
      </c>
      <c r="S16" s="204"/>
      <c r="T16" s="214">
        <v>-3.46E-3</v>
      </c>
      <c r="V16" s="213">
        <v>0.26257111872979383</v>
      </c>
    </row>
    <row r="17" spans="1:25" s="169" customFormat="1" ht="12.75" customHeight="1" x14ac:dyDescent="0.2">
      <c r="A17" s="15" t="s">
        <v>171</v>
      </c>
      <c r="B17" s="215">
        <v>-0.21</v>
      </c>
      <c r="C17" s="213"/>
      <c r="D17" s="215">
        <v>-0.15</v>
      </c>
      <c r="E17" s="213"/>
      <c r="F17" s="215">
        <v>0.04</v>
      </c>
      <c r="G17" s="213"/>
      <c r="H17" s="215">
        <v>-0.28000000000000003</v>
      </c>
      <c r="I17" s="204"/>
      <c r="J17" s="216">
        <v>-0.17</v>
      </c>
      <c r="K17" s="213"/>
      <c r="L17" s="215">
        <v>0.13</v>
      </c>
      <c r="M17" s="213"/>
      <c r="N17" s="215">
        <v>-0.1</v>
      </c>
      <c r="O17" s="213"/>
      <c r="P17" s="215">
        <v>-0.1</v>
      </c>
      <c r="Q17" s="213"/>
      <c r="R17" s="215">
        <v>-3.5369999999999999E-2</v>
      </c>
      <c r="S17" s="204"/>
      <c r="T17" s="216">
        <v>-3.3860000000000001E-2</v>
      </c>
      <c r="U17" s="175"/>
      <c r="V17" s="215">
        <v>-0.1116525863080403</v>
      </c>
      <c r="W17" s="175"/>
      <c r="X17" s="175"/>
      <c r="Y17" s="175"/>
    </row>
    <row r="18" spans="1:25" s="169" customFormat="1" ht="12.75" customHeight="1" x14ac:dyDescent="0.2">
      <c r="A18" s="18" t="s">
        <v>194</v>
      </c>
      <c r="B18" s="213">
        <v>0</v>
      </c>
      <c r="C18" s="213"/>
      <c r="D18" s="213">
        <v>0.11</v>
      </c>
      <c r="E18" s="213"/>
      <c r="F18" s="213">
        <v>0.43</v>
      </c>
      <c r="G18" s="213"/>
      <c r="H18" s="213">
        <v>7.0000000000000007E-2</v>
      </c>
      <c r="I18" s="204"/>
      <c r="J18" s="214">
        <v>0.15</v>
      </c>
      <c r="K18" s="213"/>
      <c r="L18" s="213">
        <v>0</v>
      </c>
      <c r="M18" s="213"/>
      <c r="N18" s="213">
        <v>-0.08</v>
      </c>
      <c r="O18" s="213"/>
      <c r="P18" s="213">
        <v>-0.3</v>
      </c>
      <c r="Q18" s="213"/>
      <c r="R18" s="213">
        <v>-6.4089999999999994E-2</v>
      </c>
      <c r="S18" s="204"/>
      <c r="T18" s="214">
        <v>-0.12383</v>
      </c>
      <c r="U18" s="175"/>
      <c r="V18" s="213">
        <v>-0.13711843131027407</v>
      </c>
      <c r="W18" s="175"/>
      <c r="X18" s="175"/>
      <c r="Y18" s="175"/>
    </row>
    <row r="19" spans="1:25" s="169" customFormat="1" ht="12.75" customHeight="1" x14ac:dyDescent="0.2">
      <c r="A19" s="7"/>
      <c r="B19" s="219"/>
      <c r="C19" s="175"/>
      <c r="D19" s="219"/>
      <c r="E19" s="175"/>
      <c r="F19" s="219"/>
      <c r="G19" s="175"/>
      <c r="H19" s="219"/>
      <c r="J19" s="220"/>
      <c r="K19" s="175"/>
      <c r="L19" s="219"/>
      <c r="M19" s="221"/>
      <c r="N19" s="219"/>
      <c r="O19" s="175"/>
      <c r="P19" s="219"/>
      <c r="Q19" s="175"/>
      <c r="R19" s="219"/>
      <c r="T19" s="220"/>
      <c r="V19" s="219"/>
    </row>
    <row r="20" spans="1:25" s="169" customFormat="1" ht="12.75" customHeight="1" x14ac:dyDescent="0.2">
      <c r="A20" s="5" t="s">
        <v>195</v>
      </c>
      <c r="B20" s="210"/>
      <c r="D20" s="210"/>
      <c r="F20" s="211"/>
      <c r="H20" s="211"/>
      <c r="J20" s="212"/>
      <c r="L20" s="210"/>
      <c r="M20" s="210"/>
      <c r="N20" s="211"/>
      <c r="P20" s="211"/>
      <c r="R20" s="211"/>
      <c r="T20" s="212"/>
      <c r="V20" s="210"/>
    </row>
    <row r="21" spans="1:25" s="169" customFormat="1" ht="12.75" customHeight="1" x14ac:dyDescent="0.2">
      <c r="A21" s="15" t="s">
        <v>168</v>
      </c>
      <c r="B21" s="213">
        <v>0.02</v>
      </c>
      <c r="C21" s="204"/>
      <c r="D21" s="213">
        <v>0.61</v>
      </c>
      <c r="E21" s="204"/>
      <c r="F21" s="213">
        <v>-0.05</v>
      </c>
      <c r="G21" s="204"/>
      <c r="H21" s="213">
        <v>0.15842999999999999</v>
      </c>
      <c r="I21" s="204"/>
      <c r="J21" s="214">
        <v>0.14000000000000001</v>
      </c>
      <c r="K21" s="204"/>
      <c r="L21" s="213">
        <v>-0.05</v>
      </c>
      <c r="M21" s="204"/>
      <c r="N21" s="213">
        <v>-0.15</v>
      </c>
      <c r="O21" s="204"/>
      <c r="P21" s="213">
        <v>0.09</v>
      </c>
      <c r="Q21" s="204"/>
      <c r="R21" s="213">
        <v>-0.15733</v>
      </c>
      <c r="S21" s="204"/>
      <c r="T21" s="214">
        <v>-8.1229999999999997E-2</v>
      </c>
      <c r="V21" s="213">
        <v>-0.15170577107276662</v>
      </c>
    </row>
    <row r="22" spans="1:25" s="169" customFormat="1" ht="12.75" customHeight="1" x14ac:dyDescent="0.2">
      <c r="A22" s="16" t="s">
        <v>169</v>
      </c>
      <c r="B22" s="213">
        <v>0.12</v>
      </c>
      <c r="C22" s="204"/>
      <c r="D22" s="213">
        <v>0.25</v>
      </c>
      <c r="E22" s="204"/>
      <c r="F22" s="213">
        <v>1.22</v>
      </c>
      <c r="G22" s="204"/>
      <c r="H22" s="213">
        <v>0.24</v>
      </c>
      <c r="I22" s="204"/>
      <c r="J22" s="214">
        <v>0.42</v>
      </c>
      <c r="K22" s="204"/>
      <c r="L22" s="213">
        <v>0.08</v>
      </c>
      <c r="M22" s="204"/>
      <c r="N22" s="213">
        <v>-0.21</v>
      </c>
      <c r="O22" s="204"/>
      <c r="P22" s="213">
        <v>-0.34</v>
      </c>
      <c r="Q22" s="204"/>
      <c r="R22" s="213">
        <v>0.17205000000000001</v>
      </c>
      <c r="S22" s="204"/>
      <c r="T22" s="214">
        <v>-9.3990000000000004E-2</v>
      </c>
      <c r="V22" s="213">
        <v>-5.4572551280795432E-2</v>
      </c>
    </row>
    <row r="23" spans="1:25" s="169" customFormat="1" ht="12.75" customHeight="1" x14ac:dyDescent="0.2">
      <c r="A23" s="16" t="s">
        <v>170</v>
      </c>
      <c r="B23" s="213">
        <v>0.14000000000000001</v>
      </c>
      <c r="C23" s="204"/>
      <c r="D23" s="213">
        <v>-0.43</v>
      </c>
      <c r="E23" s="204"/>
      <c r="F23" s="213">
        <v>0.53</v>
      </c>
      <c r="G23" s="204"/>
      <c r="H23" s="213">
        <v>0.06</v>
      </c>
      <c r="I23" s="204"/>
      <c r="J23" s="214">
        <v>0.04</v>
      </c>
      <c r="K23" s="204"/>
      <c r="L23" s="213">
        <v>0.23</v>
      </c>
      <c r="M23" s="204"/>
      <c r="N23" s="213">
        <v>1.81</v>
      </c>
      <c r="O23" s="204"/>
      <c r="P23" s="213">
        <v>-0.59</v>
      </c>
      <c r="Q23" s="204"/>
      <c r="R23" s="213">
        <v>0.53756999999999999</v>
      </c>
      <c r="S23" s="204"/>
      <c r="T23" s="214">
        <v>0.16585</v>
      </c>
      <c r="V23" s="213">
        <v>0.37708020276533832</v>
      </c>
    </row>
    <row r="24" spans="1:25" s="169" customFormat="1" ht="12.75" customHeight="1" x14ac:dyDescent="0.2">
      <c r="A24" s="15" t="s">
        <v>171</v>
      </c>
      <c r="B24" s="215">
        <v>-0.21</v>
      </c>
      <c r="C24" s="213"/>
      <c r="D24" s="215">
        <v>-0.15</v>
      </c>
      <c r="E24" s="213"/>
      <c r="F24" s="215">
        <v>0.04</v>
      </c>
      <c r="G24" s="213"/>
      <c r="H24" s="215">
        <v>-0.28999999999999998</v>
      </c>
      <c r="I24" s="204"/>
      <c r="J24" s="216">
        <v>-0.17</v>
      </c>
      <c r="K24" s="213"/>
      <c r="L24" s="215">
        <v>0.14000000000000001</v>
      </c>
      <c r="M24" s="213"/>
      <c r="N24" s="215">
        <v>-0.08</v>
      </c>
      <c r="O24" s="213"/>
      <c r="P24" s="215">
        <v>-0.08</v>
      </c>
      <c r="Q24" s="213"/>
      <c r="R24" s="215">
        <v>4.8999999999999998E-4</v>
      </c>
      <c r="S24" s="204"/>
      <c r="T24" s="216">
        <v>-1.2239999999999999E-2</v>
      </c>
      <c r="U24" s="175"/>
      <c r="V24" s="215">
        <v>-6.6190661685394572E-2</v>
      </c>
      <c r="W24" s="175"/>
      <c r="X24" s="175"/>
      <c r="Y24" s="175"/>
    </row>
    <row r="25" spans="1:25" s="169" customFormat="1" ht="12.75" customHeight="1" x14ac:dyDescent="0.2">
      <c r="A25" s="18" t="s">
        <v>194</v>
      </c>
      <c r="B25" s="213">
        <v>0.01</v>
      </c>
      <c r="C25" s="213"/>
      <c r="D25" s="213">
        <v>0.12</v>
      </c>
      <c r="E25" s="213"/>
      <c r="F25" s="213">
        <v>0.4</v>
      </c>
      <c r="G25" s="213"/>
      <c r="H25" s="213">
        <v>7.0000000000000007E-2</v>
      </c>
      <c r="I25" s="204"/>
      <c r="J25" s="214">
        <v>0.14000000000000001</v>
      </c>
      <c r="K25" s="213"/>
      <c r="L25" s="213">
        <v>0.04</v>
      </c>
      <c r="M25" s="213"/>
      <c r="N25" s="213">
        <v>0</v>
      </c>
      <c r="O25" s="213"/>
      <c r="P25" s="213">
        <v>-0.24</v>
      </c>
      <c r="Q25" s="213"/>
      <c r="R25" s="213">
        <v>3.2969999999999999E-2</v>
      </c>
      <c r="S25" s="204"/>
      <c r="T25" s="214">
        <v>-5.0639999999999998E-2</v>
      </c>
      <c r="U25" s="175"/>
      <c r="V25" s="213">
        <v>-7.0510879895932826E-2</v>
      </c>
      <c r="W25" s="175"/>
      <c r="X25" s="175"/>
      <c r="Y25" s="175"/>
    </row>
    <row r="26" spans="1:25" ht="12.75" customHeight="1" thickBot="1" x14ac:dyDescent="0.25">
      <c r="A26" s="8"/>
      <c r="B26" s="222"/>
      <c r="D26" s="222"/>
      <c r="F26" s="222"/>
      <c r="H26" s="222"/>
      <c r="I26" s="1"/>
      <c r="J26" s="223"/>
      <c r="L26" s="222"/>
      <c r="M26" s="222"/>
      <c r="P26" s="222"/>
      <c r="R26" s="222"/>
      <c r="S26" s="1"/>
      <c r="T26" s="223"/>
    </row>
    <row r="27" spans="1:25" ht="12.75" customHeight="1" x14ac:dyDescent="0.2">
      <c r="A27" s="3"/>
      <c r="I27" s="1"/>
      <c r="S27" s="1"/>
    </row>
    <row r="28" spans="1:25" ht="12.75" customHeight="1" x14ac:dyDescent="0.2">
      <c r="A28" s="3"/>
      <c r="I28" s="1"/>
      <c r="S28" s="1"/>
    </row>
    <row r="29" spans="1:25" ht="36.75" customHeight="1" x14ac:dyDescent="0.2">
      <c r="A29" s="270" t="s">
        <v>196</v>
      </c>
      <c r="B29" s="270"/>
      <c r="C29" s="270"/>
      <c r="D29" s="270"/>
      <c r="E29" s="270"/>
      <c r="F29" s="270"/>
      <c r="G29" s="270"/>
      <c r="H29" s="270"/>
      <c r="I29" s="270"/>
      <c r="J29" s="270"/>
      <c r="K29" s="270"/>
      <c r="L29" s="270"/>
      <c r="M29" s="270"/>
      <c r="N29" s="270"/>
      <c r="O29" s="270"/>
      <c r="P29" s="270"/>
      <c r="Q29" s="270"/>
      <c r="R29" s="270"/>
      <c r="S29" s="270"/>
      <c r="T29" s="270"/>
      <c r="U29" s="270"/>
      <c r="V29" s="270"/>
    </row>
    <row r="30" spans="1:25" ht="12.75" customHeight="1" x14ac:dyDescent="0.2">
      <c r="A30" s="3" t="s">
        <v>197</v>
      </c>
    </row>
    <row r="31" spans="1:25" ht="12.75" customHeight="1" x14ac:dyDescent="0.2">
      <c r="A31" s="3" t="s">
        <v>198</v>
      </c>
    </row>
    <row r="35" spans="2:20" x14ac:dyDescent="0.2">
      <c r="B35" s="224"/>
      <c r="D35" s="224"/>
      <c r="F35" s="224"/>
      <c r="H35" s="224"/>
      <c r="J35" s="224"/>
      <c r="L35" s="224"/>
      <c r="N35" s="224"/>
      <c r="P35" s="224"/>
      <c r="R35" s="224"/>
      <c r="T35" s="224"/>
    </row>
    <row r="36" spans="2:20" x14ac:dyDescent="0.2">
      <c r="B36" s="224"/>
      <c r="D36" s="224"/>
      <c r="F36" s="224"/>
      <c r="H36" s="224"/>
      <c r="J36" s="224"/>
      <c r="L36" s="224"/>
      <c r="N36" s="224"/>
      <c r="P36" s="224"/>
      <c r="R36" s="224"/>
      <c r="T36" s="224"/>
    </row>
    <row r="37" spans="2:20" x14ac:dyDescent="0.2">
      <c r="B37" s="224"/>
      <c r="D37" s="224"/>
      <c r="F37" s="224"/>
      <c r="H37" s="224"/>
      <c r="J37" s="224"/>
      <c r="L37" s="224"/>
      <c r="N37" s="224"/>
      <c r="P37" s="224"/>
      <c r="R37" s="224"/>
      <c r="T37" s="224"/>
    </row>
    <row r="38" spans="2:20" x14ac:dyDescent="0.2">
      <c r="B38" s="224"/>
      <c r="D38" s="224"/>
      <c r="F38" s="224"/>
      <c r="H38" s="224"/>
      <c r="J38" s="224"/>
      <c r="L38" s="224"/>
      <c r="N38" s="224"/>
      <c r="P38" s="224"/>
      <c r="R38" s="224"/>
      <c r="T38" s="224"/>
    </row>
    <row r="39" spans="2:20" x14ac:dyDescent="0.2">
      <c r="B39" s="224"/>
      <c r="D39" s="224"/>
      <c r="F39" s="224"/>
      <c r="H39" s="224"/>
      <c r="J39" s="224"/>
      <c r="L39" s="224"/>
      <c r="N39" s="224"/>
      <c r="P39" s="224"/>
      <c r="R39" s="224"/>
      <c r="T39" s="224"/>
    </row>
    <row r="42" spans="2:20" x14ac:dyDescent="0.2">
      <c r="B42" s="224"/>
      <c r="D42" s="224"/>
      <c r="F42" s="224"/>
      <c r="H42" s="224"/>
      <c r="J42" s="224"/>
      <c r="L42" s="224"/>
      <c r="N42" s="224"/>
      <c r="P42" s="224"/>
      <c r="R42" s="224"/>
      <c r="T42" s="224"/>
    </row>
    <row r="43" spans="2:20" x14ac:dyDescent="0.2">
      <c r="B43" s="224"/>
      <c r="D43" s="224"/>
      <c r="F43" s="224"/>
      <c r="H43" s="224"/>
      <c r="J43" s="224"/>
      <c r="L43" s="224"/>
      <c r="N43" s="224"/>
      <c r="P43" s="224"/>
      <c r="R43" s="224"/>
      <c r="T43" s="224"/>
    </row>
    <row r="44" spans="2:20" x14ac:dyDescent="0.2">
      <c r="B44" s="224"/>
      <c r="D44" s="224"/>
      <c r="F44" s="224"/>
      <c r="H44" s="224"/>
      <c r="J44" s="224"/>
      <c r="L44" s="224"/>
      <c r="N44" s="224"/>
      <c r="P44" s="224"/>
      <c r="R44" s="224"/>
      <c r="T44" s="224"/>
    </row>
    <row r="45" spans="2:20" x14ac:dyDescent="0.2">
      <c r="B45" s="224"/>
      <c r="D45" s="224"/>
      <c r="F45" s="224"/>
      <c r="H45" s="224"/>
      <c r="J45" s="224"/>
      <c r="L45" s="224"/>
      <c r="N45" s="224"/>
      <c r="P45" s="224"/>
      <c r="R45" s="224"/>
      <c r="T45" s="224"/>
    </row>
    <row r="46" spans="2:20" x14ac:dyDescent="0.2">
      <c r="B46" s="224"/>
      <c r="D46" s="224"/>
      <c r="F46" s="224"/>
      <c r="H46" s="224"/>
      <c r="J46" s="224"/>
      <c r="L46" s="224"/>
      <c r="N46" s="224"/>
      <c r="P46" s="224"/>
      <c r="R46" s="224"/>
      <c r="T46" s="224"/>
    </row>
    <row r="49" spans="2:20" x14ac:dyDescent="0.2">
      <c r="B49" s="224"/>
      <c r="D49" s="224"/>
      <c r="F49" s="224"/>
      <c r="H49" s="224"/>
      <c r="J49" s="224"/>
      <c r="L49" s="224"/>
      <c r="N49" s="224"/>
      <c r="P49" s="224"/>
      <c r="R49" s="224"/>
      <c r="T49" s="224"/>
    </row>
    <row r="50" spans="2:20" x14ac:dyDescent="0.2">
      <c r="B50" s="224"/>
      <c r="D50" s="224"/>
      <c r="F50" s="224"/>
      <c r="H50" s="224"/>
      <c r="J50" s="224"/>
      <c r="L50" s="224"/>
      <c r="N50" s="224"/>
      <c r="P50" s="224"/>
      <c r="R50" s="224"/>
      <c r="T50" s="224"/>
    </row>
    <row r="51" spans="2:20" x14ac:dyDescent="0.2">
      <c r="B51" s="224"/>
      <c r="D51" s="224"/>
      <c r="F51" s="224"/>
      <c r="H51" s="224"/>
      <c r="J51" s="224"/>
      <c r="L51" s="224"/>
      <c r="N51" s="224"/>
      <c r="P51" s="224"/>
      <c r="R51" s="224"/>
      <c r="T51" s="224"/>
    </row>
    <row r="52" spans="2:20" x14ac:dyDescent="0.2">
      <c r="B52" s="224"/>
      <c r="D52" s="224"/>
      <c r="F52" s="224"/>
      <c r="H52" s="224"/>
      <c r="J52" s="224"/>
      <c r="L52" s="224"/>
      <c r="N52" s="224"/>
      <c r="P52" s="224"/>
      <c r="R52" s="224"/>
      <c r="T52" s="224"/>
    </row>
    <row r="53" spans="2:20" x14ac:dyDescent="0.2">
      <c r="B53" s="224"/>
      <c r="D53" s="224"/>
      <c r="F53" s="224"/>
      <c r="H53" s="224"/>
      <c r="J53" s="224"/>
      <c r="L53" s="224"/>
      <c r="N53" s="224"/>
      <c r="P53" s="224"/>
      <c r="R53" s="224"/>
      <c r="T53" s="224"/>
    </row>
    <row r="56" spans="2:20" x14ac:dyDescent="0.2">
      <c r="B56" s="224"/>
      <c r="D56" s="224"/>
      <c r="F56" s="224"/>
      <c r="H56" s="224"/>
      <c r="J56" s="224"/>
      <c r="L56" s="224"/>
      <c r="N56" s="224"/>
      <c r="P56" s="224"/>
      <c r="R56" s="224"/>
      <c r="T56" s="224"/>
    </row>
    <row r="57" spans="2:20" x14ac:dyDescent="0.2">
      <c r="B57" s="224"/>
      <c r="D57" s="224"/>
      <c r="F57" s="224"/>
      <c r="H57" s="224"/>
      <c r="J57" s="224"/>
      <c r="L57" s="224"/>
      <c r="N57" s="224"/>
      <c r="P57" s="224"/>
      <c r="R57" s="224"/>
      <c r="T57" s="224"/>
    </row>
    <row r="58" spans="2:20" x14ac:dyDescent="0.2">
      <c r="B58" s="224"/>
      <c r="D58" s="224"/>
      <c r="F58" s="224"/>
      <c r="H58" s="224"/>
      <c r="J58" s="224"/>
      <c r="L58" s="224"/>
      <c r="N58" s="224"/>
      <c r="P58" s="224"/>
      <c r="R58" s="224"/>
      <c r="T58" s="224"/>
    </row>
    <row r="59" spans="2:20" x14ac:dyDescent="0.2">
      <c r="B59" s="224"/>
      <c r="D59" s="224"/>
      <c r="F59" s="224"/>
      <c r="H59" s="224"/>
      <c r="J59" s="224"/>
      <c r="L59" s="224"/>
      <c r="N59" s="224"/>
      <c r="P59" s="224"/>
      <c r="R59" s="224"/>
      <c r="T59" s="224"/>
    </row>
    <row r="60" spans="2:20" x14ac:dyDescent="0.2">
      <c r="B60" s="224"/>
      <c r="D60" s="224"/>
      <c r="F60" s="224"/>
      <c r="H60" s="224"/>
      <c r="J60" s="224"/>
      <c r="L60" s="224"/>
      <c r="N60" s="224"/>
      <c r="P60" s="224"/>
      <c r="R60" s="224"/>
      <c r="T60" s="224"/>
    </row>
  </sheetData>
  <mergeCells count="5">
    <mergeCell ref="B3:J3"/>
    <mergeCell ref="L3:T3"/>
    <mergeCell ref="B5:H5"/>
    <mergeCell ref="L5:R5"/>
    <mergeCell ref="A29:V29"/>
  </mergeCells>
  <printOptions horizontalCentered="1"/>
  <pageMargins left="0.16" right="0.16" top="1" bottom="0.55000000000000004" header="0.3" footer="0.3"/>
  <pageSetup scale="74" orientation="landscape" r:id="rId1"/>
  <headerFooter alignWithMargins="0">
    <oddHeader>&amp;L&amp;G</oddHeader>
    <oddFooter>&amp;C&amp;8PTC Investor Relations
Tel: (781) 370 6359</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AD39"/>
  <sheetViews>
    <sheetView zoomScale="85" zoomScaleNormal="85" workbookViewId="0">
      <pane xSplit="1" ySplit="6" topLeftCell="B7" activePane="bottomRight" state="frozen"/>
      <selection activeCell="AD36" sqref="AD36"/>
      <selection pane="topRight" activeCell="AD36" sqref="AD36"/>
      <selection pane="bottomLeft" activeCell="AD36" sqref="AD36"/>
      <selection pane="bottomRight" activeCell="A4" sqref="A4"/>
    </sheetView>
  </sheetViews>
  <sheetFormatPr defaultColWidth="9.140625" defaultRowHeight="12.75" x14ac:dyDescent="0.2"/>
  <cols>
    <col min="1" max="1" width="44" style="1" customWidth="1"/>
    <col min="2" max="2" width="11.7109375" style="1" customWidth="1"/>
    <col min="3" max="3" width="1.140625" style="1" customWidth="1"/>
    <col min="4" max="4" width="11.7109375" style="1" customWidth="1"/>
    <col min="5" max="5" width="1.140625" style="1" customWidth="1"/>
    <col min="6" max="6" width="11.7109375" style="1" customWidth="1"/>
    <col min="7" max="7" width="1.140625" style="1" customWidth="1"/>
    <col min="8" max="8" width="9.85546875" style="1" bestFit="1" customWidth="1"/>
    <col min="9" max="9" width="1.140625" style="1" customWidth="1"/>
    <col min="10" max="10" width="10.140625" style="185" bestFit="1" customWidth="1"/>
    <col min="11" max="11" width="1.140625" style="1" customWidth="1"/>
    <col min="12" max="12" width="9.42578125" style="1" bestFit="1" customWidth="1"/>
    <col min="13" max="13" width="1.140625" style="1" customWidth="1"/>
    <col min="14" max="14" width="9.85546875" style="1" bestFit="1" customWidth="1"/>
    <col min="15" max="15" width="1.140625" style="186" customWidth="1"/>
    <col min="16" max="16" width="11.7109375" style="1" customWidth="1"/>
    <col min="17" max="17" width="1.140625" style="1" customWidth="1"/>
    <col min="18" max="18" width="8.28515625" style="1" bestFit="1" customWidth="1"/>
    <col min="19" max="19" width="1.140625" style="1" customWidth="1"/>
    <col min="20" max="20" width="8.42578125" style="1" bestFit="1" customWidth="1"/>
    <col min="21" max="21" width="1.140625" style="1" customWidth="1"/>
    <col min="22" max="22" width="7.7109375" style="1" bestFit="1" customWidth="1"/>
    <col min="23" max="23" width="1.140625" style="1" customWidth="1"/>
    <col min="24" max="24" width="9.85546875" style="1" bestFit="1" customWidth="1"/>
    <col min="25" max="25" width="1.140625" style="186" customWidth="1"/>
    <col min="26" max="26" width="11.7109375" style="1" customWidth="1"/>
    <col min="27" max="27" width="1.28515625" style="1" customWidth="1"/>
    <col min="28" max="16384" width="9.140625" style="1"/>
  </cols>
  <sheetData>
    <row r="1" spans="1:30" ht="12.75" customHeight="1" x14ac:dyDescent="0.2">
      <c r="A1" s="17" t="s">
        <v>199</v>
      </c>
      <c r="B1" s="4"/>
      <c r="C1" s="4"/>
      <c r="D1" s="4"/>
      <c r="E1" s="4"/>
      <c r="F1" s="4"/>
      <c r="G1" s="4"/>
      <c r="H1" s="4"/>
      <c r="I1" s="4"/>
      <c r="J1" s="4"/>
      <c r="K1" s="4"/>
      <c r="L1" s="4"/>
      <c r="M1" s="4"/>
      <c r="N1" s="4"/>
      <c r="O1" s="4"/>
      <c r="P1" s="4"/>
      <c r="Q1" s="4"/>
      <c r="R1" s="4"/>
      <c r="S1" s="4"/>
      <c r="T1" s="4"/>
      <c r="U1" s="4"/>
      <c r="V1" s="4"/>
      <c r="W1" s="4"/>
      <c r="X1" s="4"/>
      <c r="Y1" s="4"/>
      <c r="Z1" s="4"/>
    </row>
    <row r="2" spans="1:30" ht="12.75" customHeight="1" thickBot="1" x14ac:dyDescent="0.25">
      <c r="J2" s="1"/>
      <c r="O2" s="1"/>
      <c r="Y2" s="1"/>
    </row>
    <row r="3" spans="1:30" s="3" customFormat="1" ht="12.75" customHeight="1" thickBot="1" x14ac:dyDescent="0.25">
      <c r="B3" s="27" t="s">
        <v>6</v>
      </c>
      <c r="D3" s="27" t="s">
        <v>5</v>
      </c>
      <c r="F3" s="27" t="s">
        <v>4</v>
      </c>
      <c r="H3" s="262" t="s">
        <v>3</v>
      </c>
      <c r="I3" s="263"/>
      <c r="J3" s="263"/>
      <c r="K3" s="263"/>
      <c r="L3" s="263"/>
      <c r="M3" s="263"/>
      <c r="N3" s="263"/>
      <c r="O3" s="263"/>
      <c r="P3" s="264"/>
      <c r="R3" s="262" t="s">
        <v>2</v>
      </c>
      <c r="S3" s="263"/>
      <c r="T3" s="263"/>
      <c r="U3" s="263"/>
      <c r="V3" s="263"/>
      <c r="W3" s="263"/>
      <c r="X3" s="263"/>
      <c r="Y3" s="263"/>
      <c r="Z3" s="264"/>
      <c r="AB3" s="27" t="s">
        <v>149</v>
      </c>
    </row>
    <row r="4" spans="1:30" s="3" customFormat="1" ht="12.75" customHeight="1" thickBot="1" x14ac:dyDescent="0.25"/>
    <row r="5" spans="1:30" s="3" customFormat="1" ht="12.75" customHeight="1" x14ac:dyDescent="0.2">
      <c r="B5" s="10" t="s">
        <v>1</v>
      </c>
      <c r="D5" s="10" t="s">
        <v>1</v>
      </c>
      <c r="F5" s="10" t="s">
        <v>1</v>
      </c>
      <c r="H5" s="265" t="s">
        <v>0</v>
      </c>
      <c r="I5" s="265"/>
      <c r="J5" s="265"/>
      <c r="K5" s="265"/>
      <c r="L5" s="265"/>
      <c r="M5" s="265"/>
      <c r="N5" s="265"/>
      <c r="P5" s="10" t="s">
        <v>1</v>
      </c>
      <c r="R5" s="265" t="s">
        <v>0</v>
      </c>
      <c r="S5" s="265"/>
      <c r="T5" s="265"/>
      <c r="U5" s="265"/>
      <c r="V5" s="265"/>
      <c r="W5" s="265"/>
      <c r="X5" s="265"/>
      <c r="Z5" s="10" t="s">
        <v>1</v>
      </c>
      <c r="AB5" s="162" t="s">
        <v>150</v>
      </c>
    </row>
    <row r="6" spans="1:30" s="2" customFormat="1" ht="12.75" customHeight="1" x14ac:dyDescent="0.2">
      <c r="A6" s="5"/>
      <c r="B6" s="12">
        <v>40816</v>
      </c>
      <c r="D6" s="12">
        <v>41182</v>
      </c>
      <c r="F6" s="12">
        <v>41547</v>
      </c>
      <c r="H6" s="11">
        <v>41636</v>
      </c>
      <c r="J6" s="11">
        <v>41727</v>
      </c>
      <c r="L6" s="11">
        <v>41818</v>
      </c>
      <c r="N6" s="11">
        <v>41912</v>
      </c>
      <c r="P6" s="12">
        <v>41912</v>
      </c>
      <c r="R6" s="11">
        <v>42007</v>
      </c>
      <c r="S6" s="13"/>
      <c r="T6" s="11">
        <v>42098</v>
      </c>
      <c r="V6" s="11">
        <v>42189</v>
      </c>
      <c r="X6" s="11">
        <v>41912</v>
      </c>
      <c r="Z6" s="12">
        <v>41912</v>
      </c>
      <c r="AB6" s="11">
        <v>42371</v>
      </c>
    </row>
    <row r="7" spans="1:30" s="169" customFormat="1" ht="12.75" customHeight="1" x14ac:dyDescent="0.2">
      <c r="A7" s="14"/>
      <c r="B7" s="212"/>
      <c r="D7" s="212"/>
      <c r="E7" s="210"/>
      <c r="F7" s="212"/>
      <c r="G7" s="210"/>
      <c r="H7" s="210"/>
      <c r="I7" s="210"/>
      <c r="J7" s="210"/>
      <c r="K7" s="210"/>
      <c r="L7" s="211"/>
      <c r="M7" s="210"/>
      <c r="N7" s="211"/>
      <c r="O7" s="210"/>
      <c r="P7" s="212"/>
      <c r="Q7" s="210"/>
      <c r="R7" s="210"/>
      <c r="S7" s="210"/>
      <c r="T7" s="211"/>
      <c r="U7" s="210"/>
      <c r="V7" s="211"/>
      <c r="W7" s="210"/>
      <c r="X7" s="211"/>
      <c r="Y7" s="210"/>
      <c r="Z7" s="212"/>
      <c r="AB7" s="210"/>
    </row>
    <row r="8" spans="1:30" s="169" customFormat="1" ht="12.75" customHeight="1" x14ac:dyDescent="0.2">
      <c r="A8" s="5" t="s">
        <v>200</v>
      </c>
      <c r="B8" s="212"/>
      <c r="D8" s="212"/>
      <c r="E8" s="210"/>
      <c r="F8" s="212"/>
      <c r="G8" s="210"/>
      <c r="H8" s="210"/>
      <c r="I8" s="210"/>
      <c r="J8" s="210"/>
      <c r="K8" s="210"/>
      <c r="L8" s="211"/>
      <c r="M8" s="210"/>
      <c r="N8" s="211"/>
      <c r="O8" s="210"/>
      <c r="P8" s="212"/>
      <c r="Q8" s="210"/>
      <c r="R8" s="210"/>
      <c r="S8" s="210"/>
      <c r="T8" s="211"/>
      <c r="U8" s="210"/>
      <c r="V8" s="211"/>
      <c r="W8" s="210"/>
      <c r="X8" s="211"/>
      <c r="Y8" s="210"/>
      <c r="Z8" s="212"/>
      <c r="AB8" s="210"/>
    </row>
    <row r="9" spans="1:30" s="190" customFormat="1" ht="12.75" customHeight="1" x14ac:dyDescent="0.2">
      <c r="A9" s="16" t="s">
        <v>201</v>
      </c>
      <c r="B9" s="225">
        <v>349</v>
      </c>
      <c r="C9" s="218"/>
      <c r="D9" s="225">
        <v>358</v>
      </c>
      <c r="E9" s="226"/>
      <c r="F9" s="225">
        <v>343</v>
      </c>
      <c r="G9" s="226"/>
      <c r="H9" s="226">
        <v>330</v>
      </c>
      <c r="I9" s="226"/>
      <c r="J9" s="226">
        <v>345</v>
      </c>
      <c r="K9" s="226"/>
      <c r="L9" s="226">
        <v>358</v>
      </c>
      <c r="M9" s="226"/>
      <c r="N9" s="226">
        <v>357</v>
      </c>
      <c r="O9" s="226"/>
      <c r="P9" s="225">
        <v>357</v>
      </c>
      <c r="Q9" s="226"/>
      <c r="R9" s="226">
        <v>338</v>
      </c>
      <c r="S9" s="226"/>
      <c r="T9" s="226">
        <v>343</v>
      </c>
      <c r="U9" s="226"/>
      <c r="V9" s="226">
        <v>328</v>
      </c>
      <c r="W9" s="226"/>
      <c r="X9" s="226">
        <v>329</v>
      </c>
      <c r="Y9" s="226"/>
      <c r="Z9" s="225">
        <v>329</v>
      </c>
      <c r="AB9" s="226">
        <v>328</v>
      </c>
      <c r="AD9" s="235"/>
    </row>
    <row r="10" spans="1:30" s="169" customFormat="1" ht="12.75" customHeight="1" x14ac:dyDescent="0.2">
      <c r="A10" s="15" t="s">
        <v>202</v>
      </c>
      <c r="B10" s="227">
        <v>0.99377223940859516</v>
      </c>
      <c r="C10" s="175"/>
      <c r="D10" s="227">
        <v>0.94092641256174581</v>
      </c>
      <c r="E10" s="226"/>
      <c r="F10" s="227">
        <v>0.99</v>
      </c>
      <c r="G10" s="226"/>
      <c r="H10" s="228">
        <v>1.0041528759662985</v>
      </c>
      <c r="I10" s="226"/>
      <c r="J10" s="228">
        <v>1.0277410073595075</v>
      </c>
      <c r="K10" s="226"/>
      <c r="L10" s="228">
        <v>1.1132432139165396</v>
      </c>
      <c r="M10" s="226"/>
      <c r="N10" s="228">
        <v>1.1144289284554454</v>
      </c>
      <c r="O10" s="226"/>
      <c r="P10" s="227">
        <v>1.1144289284554454</v>
      </c>
      <c r="Q10" s="226"/>
      <c r="R10" s="228">
        <v>1.1076965390271556</v>
      </c>
      <c r="S10" s="226"/>
      <c r="T10" s="228">
        <v>1.1026828012211882</v>
      </c>
      <c r="U10" s="226"/>
      <c r="V10" s="228">
        <v>1.0208216452570029</v>
      </c>
      <c r="W10" s="226"/>
      <c r="X10" s="228">
        <v>1.0395694592685014</v>
      </c>
      <c r="Y10" s="226"/>
      <c r="Z10" s="227">
        <v>1.0395694592685014</v>
      </c>
      <c r="AB10" s="228">
        <v>1.0321226372935475</v>
      </c>
    </row>
    <row r="11" spans="1:30" s="169" customFormat="1" ht="12.75" customHeight="1" x14ac:dyDescent="0.2">
      <c r="A11" s="7"/>
      <c r="B11" s="229"/>
      <c r="C11" s="175"/>
      <c r="D11" s="229"/>
      <c r="E11" s="218"/>
      <c r="F11" s="229"/>
      <c r="G11" s="218"/>
      <c r="H11" s="218"/>
      <c r="I11" s="218"/>
      <c r="J11" s="218"/>
      <c r="K11" s="218"/>
      <c r="L11" s="218"/>
      <c r="M11" s="218"/>
      <c r="N11" s="218"/>
      <c r="O11" s="218"/>
      <c r="P11" s="229"/>
      <c r="Q11" s="218"/>
      <c r="R11" s="218"/>
      <c r="S11" s="218"/>
      <c r="T11" s="218"/>
      <c r="U11" s="218"/>
      <c r="V11" s="218"/>
      <c r="W11" s="218"/>
      <c r="X11" s="218"/>
      <c r="Y11" s="218"/>
      <c r="Z11" s="229"/>
      <c r="AB11" s="218"/>
      <c r="AD11" s="236"/>
    </row>
    <row r="12" spans="1:30" s="185" customFormat="1" ht="12.75" customHeight="1" x14ac:dyDescent="0.2">
      <c r="A12" s="5" t="s">
        <v>203</v>
      </c>
      <c r="B12" s="217"/>
      <c r="D12" s="217"/>
      <c r="E12" s="230"/>
      <c r="F12" s="217"/>
      <c r="G12" s="230"/>
      <c r="H12" s="230"/>
      <c r="I12" s="230"/>
      <c r="J12" s="230"/>
      <c r="K12" s="230"/>
      <c r="L12" s="230"/>
      <c r="M12" s="230"/>
      <c r="N12" s="230"/>
      <c r="O12" s="230"/>
      <c r="P12" s="217"/>
      <c r="Q12" s="230"/>
      <c r="R12" s="230"/>
      <c r="S12" s="230"/>
      <c r="T12" s="230"/>
      <c r="U12" s="230"/>
      <c r="V12" s="230"/>
      <c r="W12" s="230"/>
      <c r="X12" s="230"/>
      <c r="Y12" s="230"/>
      <c r="Z12" s="217"/>
      <c r="AB12" s="230"/>
    </row>
    <row r="13" spans="1:30" s="185" customFormat="1" ht="12.75" customHeight="1" x14ac:dyDescent="0.2">
      <c r="A13" s="16" t="s">
        <v>204</v>
      </c>
      <c r="B13" s="214">
        <v>0.77100000000000002</v>
      </c>
      <c r="D13" s="214">
        <v>0.77300000000000002</v>
      </c>
      <c r="E13" s="230"/>
      <c r="F13" s="214">
        <v>0.77400000000000002</v>
      </c>
      <c r="G13" s="230"/>
      <c r="H13" s="213">
        <v>0.77700000000000002</v>
      </c>
      <c r="I13" s="230"/>
      <c r="J13" s="213">
        <v>0.78100000000000003</v>
      </c>
      <c r="K13" s="230"/>
      <c r="L13" s="213">
        <v>0.77</v>
      </c>
      <c r="M13" s="230"/>
      <c r="N13" s="213">
        <v>0.78100000000000003</v>
      </c>
      <c r="O13" s="230"/>
      <c r="P13" s="214">
        <v>0.77700000000000002</v>
      </c>
      <c r="Q13" s="230"/>
      <c r="R13" s="213">
        <v>0.76607999999999998</v>
      </c>
      <c r="S13" s="230"/>
      <c r="T13" s="213">
        <v>0.78</v>
      </c>
      <c r="U13" s="230"/>
      <c r="V13" s="213">
        <v>0.77900000000000003</v>
      </c>
      <c r="W13" s="230"/>
      <c r="X13" s="213">
        <v>0.75551999999999997</v>
      </c>
      <c r="Y13" s="230"/>
      <c r="Z13" s="214">
        <v>0.76907000000000003</v>
      </c>
      <c r="AB13" s="213">
        <v>0.76684779637313527</v>
      </c>
    </row>
    <row r="14" spans="1:30" s="185" customFormat="1" ht="12.75" customHeight="1" x14ac:dyDescent="0.2">
      <c r="A14" s="16" t="s">
        <v>205</v>
      </c>
      <c r="B14" s="216">
        <v>0.22900000000000001</v>
      </c>
      <c r="D14" s="216">
        <v>0.22700000000000001</v>
      </c>
      <c r="E14" s="230"/>
      <c r="F14" s="216">
        <v>0.22600000000000001</v>
      </c>
      <c r="G14" s="230"/>
      <c r="H14" s="215">
        <v>0.223</v>
      </c>
      <c r="I14" s="230"/>
      <c r="J14" s="215">
        <v>0.219</v>
      </c>
      <c r="K14" s="230"/>
      <c r="L14" s="215">
        <v>0.23</v>
      </c>
      <c r="M14" s="230"/>
      <c r="N14" s="215">
        <v>0.219</v>
      </c>
      <c r="O14" s="230"/>
      <c r="P14" s="216">
        <v>0.223</v>
      </c>
      <c r="Q14" s="230"/>
      <c r="R14" s="215">
        <v>0.23391000000000001</v>
      </c>
      <c r="S14" s="230"/>
      <c r="T14" s="215">
        <v>0.22</v>
      </c>
      <c r="U14" s="230"/>
      <c r="V14" s="215">
        <v>0.221</v>
      </c>
      <c r="W14" s="230"/>
      <c r="X14" s="215">
        <v>0.24446999999999999</v>
      </c>
      <c r="Y14" s="230"/>
      <c r="Z14" s="216">
        <v>0.23091999999999999</v>
      </c>
      <c r="AB14" s="215">
        <v>0.23315220362686467</v>
      </c>
    </row>
    <row r="15" spans="1:30" s="185" customFormat="1" ht="12.75" customHeight="1" x14ac:dyDescent="0.2">
      <c r="A15" s="231" t="s">
        <v>206</v>
      </c>
      <c r="B15" s="214">
        <v>1</v>
      </c>
      <c r="D15" s="214">
        <v>1</v>
      </c>
      <c r="E15" s="230"/>
      <c r="F15" s="214">
        <v>1</v>
      </c>
      <c r="G15" s="230"/>
      <c r="H15" s="213">
        <f>SUM(H13:H14)</f>
        <v>1</v>
      </c>
      <c r="I15" s="230"/>
      <c r="J15" s="213">
        <f>SUM(J13:J14)</f>
        <v>1</v>
      </c>
      <c r="K15" s="230"/>
      <c r="L15" s="213">
        <f>SUM(L13:L14)</f>
        <v>1</v>
      </c>
      <c r="M15" s="230"/>
      <c r="N15" s="213">
        <f>SUM(N13:N14)</f>
        <v>1</v>
      </c>
      <c r="O15" s="230"/>
      <c r="P15" s="214">
        <f>SUM(P13:P14)</f>
        <v>1</v>
      </c>
      <c r="Q15" s="230"/>
      <c r="R15" s="213">
        <f>SUM(R13:R14)</f>
        <v>0.99998999999999993</v>
      </c>
      <c r="S15" s="230"/>
      <c r="T15" s="213">
        <f>SUM(T13:T14)</f>
        <v>1</v>
      </c>
      <c r="U15" s="230"/>
      <c r="V15" s="213">
        <f>SUM(V13:V14)</f>
        <v>1</v>
      </c>
      <c r="W15" s="230"/>
      <c r="X15" s="213">
        <f>SUM(X13:X14)</f>
        <v>0.99998999999999993</v>
      </c>
      <c r="Y15" s="230"/>
      <c r="Z15" s="214">
        <f>SUM(Z13:Z14)</f>
        <v>0.99999000000000005</v>
      </c>
      <c r="AB15" s="213">
        <f>SUM(AB13:AB14)</f>
        <v>1</v>
      </c>
    </row>
    <row r="16" spans="1:30" s="185" customFormat="1" ht="12.75" customHeight="1" x14ac:dyDescent="0.2">
      <c r="A16" s="231"/>
      <c r="B16" s="217"/>
      <c r="D16" s="217"/>
      <c r="E16" s="230"/>
      <c r="F16" s="217"/>
      <c r="G16" s="230"/>
      <c r="H16" s="230"/>
      <c r="I16" s="230"/>
      <c r="J16" s="230"/>
      <c r="K16" s="230"/>
      <c r="L16" s="230"/>
      <c r="M16" s="230"/>
      <c r="N16" s="230"/>
      <c r="O16" s="230"/>
      <c r="P16" s="217"/>
      <c r="Q16" s="230"/>
      <c r="R16" s="230"/>
      <c r="S16" s="230"/>
      <c r="T16" s="230"/>
      <c r="U16" s="230"/>
      <c r="V16" s="230"/>
      <c r="W16" s="230"/>
      <c r="X16" s="230"/>
      <c r="Y16" s="230"/>
      <c r="Z16" s="217"/>
      <c r="AB16" s="230"/>
    </row>
    <row r="17" spans="1:28" s="185" customFormat="1" ht="12.75" customHeight="1" x14ac:dyDescent="0.2">
      <c r="A17" s="5" t="s">
        <v>207</v>
      </c>
      <c r="B17" s="217"/>
      <c r="D17" s="217"/>
      <c r="E17" s="230"/>
      <c r="F17" s="217"/>
      <c r="G17" s="230"/>
      <c r="H17" s="230"/>
      <c r="I17" s="230"/>
      <c r="J17" s="230"/>
      <c r="K17" s="230"/>
      <c r="L17" s="230"/>
      <c r="M17" s="230"/>
      <c r="N17" s="230"/>
      <c r="O17" s="230"/>
      <c r="P17" s="217"/>
      <c r="Q17" s="230"/>
      <c r="R17" s="230"/>
      <c r="S17" s="230"/>
      <c r="T17" s="230"/>
      <c r="U17" s="230"/>
      <c r="V17" s="230"/>
      <c r="W17" s="230"/>
      <c r="X17" s="230"/>
      <c r="Y17" s="230"/>
      <c r="Z17" s="217"/>
      <c r="AB17" s="230"/>
    </row>
    <row r="18" spans="1:28" s="185" customFormat="1" ht="12.75" customHeight="1" x14ac:dyDescent="0.2">
      <c r="A18" s="16" t="s">
        <v>208</v>
      </c>
      <c r="B18" s="214">
        <v>0.12</v>
      </c>
      <c r="D18" s="214">
        <v>0.129</v>
      </c>
      <c r="E18" s="230"/>
      <c r="F18" s="214">
        <v>0.123</v>
      </c>
      <c r="G18" s="230"/>
      <c r="H18" s="213">
        <v>0.126</v>
      </c>
      <c r="I18" s="230"/>
      <c r="J18" s="213">
        <v>0.14799999999999999</v>
      </c>
      <c r="K18" s="230"/>
      <c r="L18" s="213">
        <v>0.127</v>
      </c>
      <c r="M18" s="230"/>
      <c r="N18" s="213">
        <v>0.14599999999999999</v>
      </c>
      <c r="O18" s="230"/>
      <c r="P18" s="214">
        <v>0.13700000000000001</v>
      </c>
      <c r="Q18" s="230"/>
      <c r="R18" s="213">
        <v>0.14199999999999999</v>
      </c>
      <c r="S18" s="230"/>
      <c r="T18" s="213">
        <v>0.125</v>
      </c>
      <c r="U18" s="230"/>
      <c r="V18" s="213">
        <v>0.129</v>
      </c>
      <c r="W18" s="230"/>
      <c r="X18" s="213">
        <v>0.14112</v>
      </c>
      <c r="Y18" s="230"/>
      <c r="Z18" s="214">
        <v>0.13613</v>
      </c>
      <c r="AA18" s="26"/>
      <c r="AB18" s="213">
        <v>0.13401251400508143</v>
      </c>
    </row>
    <row r="19" spans="1:28" s="185" customFormat="1" ht="12.75" customHeight="1" x14ac:dyDescent="0.2">
      <c r="A19" s="16" t="s">
        <v>209</v>
      </c>
      <c r="B19" s="214">
        <v>0.16500000000000001</v>
      </c>
      <c r="D19" s="214">
        <v>0.17399999999999999</v>
      </c>
      <c r="E19" s="230"/>
      <c r="F19" s="214">
        <v>0.17799999999999999</v>
      </c>
      <c r="G19" s="230"/>
      <c r="H19" s="213">
        <v>0.156</v>
      </c>
      <c r="I19" s="230"/>
      <c r="J19" s="213">
        <v>0.159</v>
      </c>
      <c r="K19" s="230"/>
      <c r="L19" s="213">
        <v>0.16500000000000001</v>
      </c>
      <c r="M19" s="230"/>
      <c r="N19" s="213">
        <v>0.15</v>
      </c>
      <c r="O19" s="230"/>
      <c r="P19" s="214">
        <v>0.157</v>
      </c>
      <c r="Q19" s="230"/>
      <c r="R19" s="213">
        <v>0.17</v>
      </c>
      <c r="S19" s="230"/>
      <c r="T19" s="213">
        <v>0.20499999999999999</v>
      </c>
      <c r="U19" s="230"/>
      <c r="V19" s="213">
        <v>0.19</v>
      </c>
      <c r="W19" s="230"/>
      <c r="X19" s="213">
        <v>0.1653</v>
      </c>
      <c r="Y19" s="230"/>
      <c r="Z19" s="214">
        <v>0.18107000000000001</v>
      </c>
      <c r="AA19" s="26"/>
      <c r="AB19" s="213">
        <v>0.1728475473636506</v>
      </c>
    </row>
    <row r="20" spans="1:28" s="185" customFormat="1" ht="12.75" customHeight="1" x14ac:dyDescent="0.2">
      <c r="A20" s="16" t="s">
        <v>210</v>
      </c>
      <c r="B20" s="214">
        <v>0.19600000000000001</v>
      </c>
      <c r="D20" s="214">
        <v>0.17799999999999999</v>
      </c>
      <c r="E20" s="230"/>
      <c r="F20" s="214">
        <v>0.182</v>
      </c>
      <c r="G20" s="230"/>
      <c r="H20" s="213">
        <v>0.20100000000000001</v>
      </c>
      <c r="I20" s="230"/>
      <c r="J20" s="213">
        <v>0.17499999999999999</v>
      </c>
      <c r="K20" s="230"/>
      <c r="L20" s="213">
        <v>0.16300000000000001</v>
      </c>
      <c r="M20" s="230"/>
      <c r="N20" s="213">
        <v>0.217</v>
      </c>
      <c r="O20" s="230"/>
      <c r="P20" s="214">
        <v>0.19</v>
      </c>
      <c r="Q20" s="230"/>
      <c r="R20" s="213">
        <v>0.158</v>
      </c>
      <c r="S20" s="230"/>
      <c r="T20" s="213">
        <v>0.17</v>
      </c>
      <c r="U20" s="230"/>
      <c r="V20" s="213">
        <v>0.15</v>
      </c>
      <c r="W20" s="230"/>
      <c r="X20" s="213">
        <v>0.16492999999999999</v>
      </c>
      <c r="Y20" s="230"/>
      <c r="Z20" s="214">
        <v>0.16098000000000001</v>
      </c>
      <c r="AA20" s="26"/>
      <c r="AB20" s="213">
        <v>0.16270987301716344</v>
      </c>
    </row>
    <row r="21" spans="1:28" s="185" customFormat="1" ht="12.75" customHeight="1" x14ac:dyDescent="0.2">
      <c r="A21" s="16" t="s">
        <v>211</v>
      </c>
      <c r="B21" s="214">
        <v>0.313</v>
      </c>
      <c r="D21" s="214">
        <v>0.3</v>
      </c>
      <c r="E21" s="230"/>
      <c r="F21" s="214">
        <v>0.312</v>
      </c>
      <c r="G21" s="230"/>
      <c r="H21" s="213">
        <v>0.32400000000000001</v>
      </c>
      <c r="I21" s="230"/>
      <c r="J21" s="213">
        <v>0.32400000000000001</v>
      </c>
      <c r="K21" s="230"/>
      <c r="L21" s="213">
        <v>0.33200000000000002</v>
      </c>
      <c r="M21" s="230"/>
      <c r="N21" s="213">
        <v>0.28000000000000003</v>
      </c>
      <c r="O21" s="230"/>
      <c r="P21" s="214">
        <v>0.31</v>
      </c>
      <c r="Q21" s="230"/>
      <c r="R21" s="213">
        <v>0.307</v>
      </c>
      <c r="S21" s="230"/>
      <c r="T21" s="213">
        <v>0.3</v>
      </c>
      <c r="U21" s="230"/>
      <c r="V21" s="213">
        <v>0.32700000000000001</v>
      </c>
      <c r="W21" s="230"/>
      <c r="X21" s="213">
        <v>0.32155</v>
      </c>
      <c r="Y21" s="230"/>
      <c r="Z21" s="214">
        <v>0.31469000000000003</v>
      </c>
      <c r="AA21" s="26"/>
      <c r="AB21" s="213">
        <v>0.30830947060475472</v>
      </c>
    </row>
    <row r="22" spans="1:28" s="185" customFormat="1" ht="12.75" customHeight="1" x14ac:dyDescent="0.2">
      <c r="A22" s="16" t="s">
        <v>212</v>
      </c>
      <c r="B22" s="214">
        <v>4.5999999999999999E-2</v>
      </c>
      <c r="D22" s="214">
        <v>3.5999999999999997E-2</v>
      </c>
      <c r="E22" s="230"/>
      <c r="F22" s="214">
        <v>3.7999999999999999E-2</v>
      </c>
      <c r="G22" s="230"/>
      <c r="H22" s="213">
        <v>4.4999999999999998E-2</v>
      </c>
      <c r="I22" s="230"/>
      <c r="J22" s="213">
        <v>3.4000000000000002E-2</v>
      </c>
      <c r="K22" s="230"/>
      <c r="L22" s="213">
        <v>4.8000000000000001E-2</v>
      </c>
      <c r="M22" s="230"/>
      <c r="N22" s="213">
        <v>0.05</v>
      </c>
      <c r="O22" s="230"/>
      <c r="P22" s="214">
        <v>0.05</v>
      </c>
      <c r="Q22" s="230"/>
      <c r="R22" s="213">
        <v>5.8000000000000003E-2</v>
      </c>
      <c r="S22" s="230"/>
      <c r="T22" s="213">
        <v>0.05</v>
      </c>
      <c r="U22" s="230"/>
      <c r="V22" s="213">
        <v>4.4999999999999998E-2</v>
      </c>
      <c r="W22" s="230"/>
      <c r="X22" s="213">
        <v>4.6899999999999997E-2</v>
      </c>
      <c r="Y22" s="230"/>
      <c r="Z22" s="214">
        <v>5.0099999999999999E-2</v>
      </c>
      <c r="AA22" s="26"/>
      <c r="AB22" s="213">
        <v>5.5983726340318389E-2</v>
      </c>
    </row>
    <row r="23" spans="1:28" s="185" customFormat="1" ht="12.75" customHeight="1" x14ac:dyDescent="0.2">
      <c r="A23" s="16" t="s">
        <v>213</v>
      </c>
      <c r="B23" s="214">
        <v>6.9000000000000006E-2</v>
      </c>
      <c r="D23" s="214">
        <v>7.2999999999999995E-2</v>
      </c>
      <c r="E23" s="230"/>
      <c r="F23" s="214">
        <v>8.1000000000000003E-2</v>
      </c>
      <c r="G23" s="230"/>
      <c r="H23" s="213">
        <v>6.7000000000000004E-2</v>
      </c>
      <c r="I23" s="230"/>
      <c r="J23" s="213">
        <v>8.1000000000000003E-2</v>
      </c>
      <c r="K23" s="230"/>
      <c r="L23" s="213">
        <v>8.4000000000000005E-2</v>
      </c>
      <c r="M23" s="230"/>
      <c r="N23" s="213">
        <v>7.3999999999999996E-2</v>
      </c>
      <c r="O23" s="230"/>
      <c r="P23" s="214">
        <v>7.6999999999999999E-2</v>
      </c>
      <c r="Q23" s="230"/>
      <c r="R23" s="213">
        <v>7.6999999999999999E-2</v>
      </c>
      <c r="S23" s="230"/>
      <c r="T23" s="213">
        <v>7.0000000000000007E-2</v>
      </c>
      <c r="U23" s="230"/>
      <c r="V23" s="213">
        <v>6.9000000000000006E-2</v>
      </c>
      <c r="W23" s="230"/>
      <c r="X23" s="213">
        <v>7.2040000000000007E-2</v>
      </c>
      <c r="Y23" s="230"/>
      <c r="Z23" s="214">
        <v>7.2480000000000003E-2</v>
      </c>
      <c r="AA23" s="26"/>
      <c r="AB23" s="213">
        <v>7.3331103112222074E-2</v>
      </c>
    </row>
    <row r="24" spans="1:28" s="185" customFormat="1" ht="12.75" customHeight="1" x14ac:dyDescent="0.2">
      <c r="A24" s="16" t="s">
        <v>9</v>
      </c>
      <c r="B24" s="216">
        <v>9.0999999999999998E-2</v>
      </c>
      <c r="D24" s="216">
        <v>0.105</v>
      </c>
      <c r="E24" s="230"/>
      <c r="F24" s="216">
        <v>8.5999999999999993E-2</v>
      </c>
      <c r="G24" s="230"/>
      <c r="H24" s="215">
        <v>7.9000000000000001E-2</v>
      </c>
      <c r="I24" s="230"/>
      <c r="J24" s="215">
        <v>7.6999999999999999E-2</v>
      </c>
      <c r="K24" s="230"/>
      <c r="L24" s="215">
        <v>8.1000000000000003E-2</v>
      </c>
      <c r="M24" s="230"/>
      <c r="N24" s="215">
        <v>8.3000000000000004E-2</v>
      </c>
      <c r="O24" s="230"/>
      <c r="P24" s="216">
        <v>0.08</v>
      </c>
      <c r="Q24" s="230"/>
      <c r="R24" s="215">
        <v>8.7999999999999995E-2</v>
      </c>
      <c r="S24" s="230"/>
      <c r="T24" s="215">
        <v>0.08</v>
      </c>
      <c r="U24" s="230"/>
      <c r="V24" s="215">
        <v>9.4E-2</v>
      </c>
      <c r="W24" s="230"/>
      <c r="X24" s="215">
        <v>8.813E-2</v>
      </c>
      <c r="Y24" s="230"/>
      <c r="Z24" s="216">
        <v>8.4519999999999998E-2</v>
      </c>
      <c r="AA24" s="26"/>
      <c r="AB24" s="215">
        <v>9.2805765556809319E-2</v>
      </c>
    </row>
    <row r="25" spans="1:28" s="185" customFormat="1" ht="12.75" customHeight="1" x14ac:dyDescent="0.2">
      <c r="A25" s="231" t="s">
        <v>206</v>
      </c>
      <c r="B25" s="214">
        <v>1</v>
      </c>
      <c r="D25" s="214">
        <v>1</v>
      </c>
      <c r="E25" s="230"/>
      <c r="F25" s="214">
        <v>0.99999999999999989</v>
      </c>
      <c r="G25" s="230"/>
      <c r="H25" s="213">
        <f>SUM(H18:H24)</f>
        <v>0.998</v>
      </c>
      <c r="I25" s="230"/>
      <c r="J25" s="213">
        <f>SUM(J18:J24)</f>
        <v>0.998</v>
      </c>
      <c r="K25" s="230"/>
      <c r="L25" s="213">
        <f>SUM(L18:L24)</f>
        <v>1.0000000000000002</v>
      </c>
      <c r="M25" s="230"/>
      <c r="N25" s="213">
        <f>SUM(N18:N24)</f>
        <v>1</v>
      </c>
      <c r="O25" s="230"/>
      <c r="P25" s="214">
        <f>SUM(P18:P24)</f>
        <v>1.0010000000000001</v>
      </c>
      <c r="Q25" s="230"/>
      <c r="R25" s="213">
        <f>SUM(R18:R24)</f>
        <v>0.99999999999999989</v>
      </c>
      <c r="S25" s="230"/>
      <c r="T25" s="213">
        <f>SUM(T18:T24)</f>
        <v>1.0000000000000002</v>
      </c>
      <c r="U25" s="230"/>
      <c r="V25" s="213">
        <f>SUM(V18:V24)</f>
        <v>1.0040000000000002</v>
      </c>
      <c r="W25" s="230"/>
      <c r="X25" s="213">
        <f>SUM(X18:X24)</f>
        <v>0.99997000000000014</v>
      </c>
      <c r="Y25" s="230"/>
      <c r="Z25" s="214">
        <f>SUM(Z18:Z24)</f>
        <v>0.99997000000000014</v>
      </c>
      <c r="AA25" s="26"/>
      <c r="AB25" s="213">
        <f>SUM(AB18:AB24)</f>
        <v>0.99999999999999978</v>
      </c>
    </row>
    <row r="26" spans="1:28" s="185" customFormat="1" ht="12.75" customHeight="1" x14ac:dyDescent="0.2">
      <c r="A26" s="16"/>
      <c r="B26" s="217"/>
      <c r="D26" s="217"/>
      <c r="E26" s="230"/>
      <c r="F26" s="217"/>
      <c r="G26" s="230"/>
      <c r="H26" s="230"/>
      <c r="I26" s="230"/>
      <c r="J26" s="230"/>
      <c r="K26" s="230"/>
      <c r="L26" s="230"/>
      <c r="M26" s="230"/>
      <c r="N26" s="230"/>
      <c r="O26" s="230"/>
      <c r="P26" s="217"/>
      <c r="Q26" s="230"/>
      <c r="R26" s="230"/>
      <c r="S26" s="230"/>
      <c r="T26" s="230"/>
      <c r="U26" s="230"/>
      <c r="V26" s="230"/>
      <c r="W26" s="230"/>
      <c r="X26" s="230"/>
      <c r="Y26" s="230"/>
      <c r="Z26" s="217"/>
      <c r="AA26" s="26"/>
    </row>
    <row r="27" spans="1:28" ht="12.75" customHeight="1" thickBot="1" x14ac:dyDescent="0.25">
      <c r="A27" s="8"/>
      <c r="B27" s="223"/>
      <c r="D27" s="223"/>
      <c r="E27" s="222"/>
      <c r="F27" s="223"/>
      <c r="G27" s="222"/>
      <c r="H27" s="222"/>
      <c r="I27" s="222"/>
      <c r="J27" s="222"/>
      <c r="K27" s="222"/>
      <c r="L27" s="222"/>
      <c r="M27" s="222"/>
      <c r="N27" s="222"/>
      <c r="O27" s="222"/>
      <c r="P27" s="223"/>
      <c r="Q27" s="222"/>
      <c r="R27" s="222"/>
      <c r="S27" s="222"/>
      <c r="U27" s="222"/>
      <c r="V27" s="222"/>
      <c r="W27" s="222"/>
      <c r="X27" s="222"/>
      <c r="Y27" s="222"/>
      <c r="Z27" s="223"/>
    </row>
    <row r="28" spans="1:28" ht="12.75" customHeight="1" x14ac:dyDescent="0.2">
      <c r="A28" s="3"/>
      <c r="O28" s="1"/>
      <c r="Y28" s="1"/>
    </row>
    <row r="29" spans="1:28" ht="12.75" customHeight="1" x14ac:dyDescent="0.2">
      <c r="A29" s="3"/>
      <c r="O29" s="1"/>
      <c r="Y29" s="1"/>
    </row>
    <row r="30" spans="1:28" ht="12.75" customHeight="1" x14ac:dyDescent="0.2">
      <c r="A30" s="3" t="s">
        <v>218</v>
      </c>
      <c r="O30" s="1"/>
      <c r="Y30" s="1"/>
    </row>
    <row r="31" spans="1:28" ht="12.75" customHeight="1" x14ac:dyDescent="0.2">
      <c r="A31" s="3"/>
      <c r="O31" s="1"/>
      <c r="Y31" s="1"/>
    </row>
    <row r="32" spans="1:28" x14ac:dyDescent="0.2">
      <c r="A32" s="3"/>
      <c r="N32" s="239"/>
      <c r="P32" s="237"/>
      <c r="R32" s="239"/>
      <c r="T32" s="239"/>
      <c r="V32" s="239"/>
      <c r="Z32" s="237"/>
    </row>
    <row r="33" spans="1:26" x14ac:dyDescent="0.2">
      <c r="A33" s="3"/>
      <c r="N33" s="239"/>
      <c r="P33" s="237"/>
      <c r="R33" s="239"/>
      <c r="T33" s="239"/>
      <c r="V33" s="239"/>
      <c r="Z33" s="237"/>
    </row>
    <row r="34" spans="1:26" x14ac:dyDescent="0.2">
      <c r="B34" s="238"/>
      <c r="D34" s="238"/>
      <c r="F34" s="238"/>
      <c r="H34" s="238"/>
      <c r="I34" s="238"/>
      <c r="J34" s="238"/>
      <c r="L34" s="238"/>
      <c r="N34" s="238"/>
      <c r="P34" s="238"/>
      <c r="R34" s="238"/>
      <c r="T34" s="238"/>
      <c r="V34" s="238"/>
      <c r="W34" s="186"/>
      <c r="X34" s="238"/>
      <c r="Z34" s="238"/>
    </row>
    <row r="36" spans="1:26" x14ac:dyDescent="0.2">
      <c r="J36" s="1"/>
      <c r="O36" s="1"/>
      <c r="Y36" s="1"/>
    </row>
    <row r="37" spans="1:26" x14ac:dyDescent="0.2">
      <c r="J37" s="1"/>
      <c r="O37" s="1"/>
    </row>
    <row r="38" spans="1:26" x14ac:dyDescent="0.2">
      <c r="J38" s="145"/>
      <c r="K38" s="145"/>
      <c r="L38" s="145"/>
      <c r="M38" s="145"/>
      <c r="N38" s="145"/>
      <c r="O38" s="145"/>
      <c r="P38" s="145"/>
    </row>
    <row r="39" spans="1:26" x14ac:dyDescent="0.2">
      <c r="J39" s="145"/>
      <c r="K39" s="145"/>
      <c r="L39" s="145"/>
      <c r="M39" s="145"/>
      <c r="N39" s="145"/>
      <c r="O39" s="145"/>
      <c r="P39" s="145"/>
    </row>
  </sheetData>
  <mergeCells count="4">
    <mergeCell ref="H3:P3"/>
    <mergeCell ref="R3:Z3"/>
    <mergeCell ref="H5:N5"/>
    <mergeCell ref="R5:X5"/>
  </mergeCells>
  <printOptions horizontalCentered="1"/>
  <pageMargins left="0.16" right="0.16" top="0.63" bottom="0.75" header="0.3" footer="0.3"/>
  <pageSetup scale="60" orientation="landscape" r:id="rId1"/>
  <headerFooter alignWithMargins="0">
    <oddHeader>&amp;L&amp;G</oddHeader>
    <oddFooter>&amp;C&amp;8PTC Investor Relations
Tel: (781) 370 6359</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Disclosures</vt:lpstr>
      <vt:lpstr>Balance Sheet</vt:lpstr>
      <vt:lpstr>GAAP Income Statement</vt:lpstr>
      <vt:lpstr>Non-GAAP Income Statement</vt:lpstr>
      <vt:lpstr>GAAP vs Non-GAAP</vt:lpstr>
      <vt:lpstr>Cash Flow</vt:lpstr>
      <vt:lpstr>Rev LoB</vt:lpstr>
      <vt:lpstr>Rev Region</vt:lpstr>
      <vt:lpstr>Rev Solution Area</vt:lpstr>
      <vt:lpstr>Bookings</vt:lpstr>
      <vt:lpstr>Supplementary</vt:lpstr>
      <vt:lpstr>'Balance Sheet'!Print_Area</vt:lpstr>
      <vt:lpstr>Bookings!Print_Area</vt:lpstr>
      <vt:lpstr>'Cash Flow'!Print_Area</vt:lpstr>
      <vt:lpstr>Disclosures!Print_Area</vt:lpstr>
      <vt:lpstr>'GAAP Income Statement'!Print_Area</vt:lpstr>
      <vt:lpstr>'GAAP vs Non-GAAP'!Print_Area</vt:lpstr>
      <vt:lpstr>'Non-GAAP Income Statement'!Print_Area</vt:lpstr>
      <vt:lpstr>'Rev LoB'!Print_Area</vt:lpstr>
      <vt:lpstr>'Rev Region'!Print_Area</vt:lpstr>
      <vt:lpstr>'Rev Solution Area'!Print_Area</vt:lpstr>
      <vt:lpstr>Supplementary!Print_Area</vt:lpstr>
      <vt:lpstr>'Rev Region'!Print_Titles</vt:lpstr>
      <vt:lpstr>'Rev Solution Area'!Print_Titles</vt:lpstr>
      <vt:lpstr>Supplementary!Print_Titles</vt:lpstr>
    </vt:vector>
  </TitlesOfParts>
  <Company>Cepheid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Hillier</dc:creator>
  <cp:lastModifiedBy>Barnett, Melissa</cp:lastModifiedBy>
  <cp:lastPrinted>2016-01-20T20:05:50Z</cp:lastPrinted>
  <dcterms:created xsi:type="dcterms:W3CDTF">2008-04-24T23:57:50Z</dcterms:created>
  <dcterms:modified xsi:type="dcterms:W3CDTF">2016-02-09T20:20:45Z</dcterms:modified>
</cp:coreProperties>
</file>